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C:\Users\dl1\Downloads\"/>
    </mc:Choice>
  </mc:AlternateContent>
  <xr:revisionPtr revIDLastSave="0" documentId="8_{ED4DF865-B967-45D4-AC31-ABD9F2CBBDBE}" xr6:coauthVersionLast="36" xr6:coauthVersionMax="36" xr10:uidLastSave="{00000000-0000-0000-0000-000000000000}"/>
  <bookViews>
    <workbookView xWindow="0" yWindow="0" windowWidth="24000" windowHeight="9510" tabRatio="673" firstSheet="1" activeTab="2" xr2:uid="{00000000-000D-0000-FFFF-FFFF00000000}"/>
  </bookViews>
  <sheets>
    <sheet name="Wskaźniki" sheetId="2" r:id="rId1"/>
    <sheet name="2013" sheetId="3" r:id="rId2"/>
    <sheet name="2020" sheetId="4" r:id="rId3"/>
    <sheet name="2027" sheetId="5" r:id="rId4"/>
    <sheet name="Zrealizowane" sheetId="7" r:id="rId5"/>
    <sheet name="Planowane" sheetId="6" r:id="rId6"/>
    <sheet name="Podsumowanie inwestycji" sheetId="8" r:id="rId7"/>
    <sheet name="Inwentaryzacja 2013" sheetId="11" r:id="rId8"/>
    <sheet name="Inwentaryzacja 2020" sheetId="12" r:id="rId9"/>
    <sheet name="Ciepło" sheetId="13" r:id="rId10"/>
    <sheet name="Energia elektryczna" sheetId="14" r:id="rId1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9" i="5" l="1"/>
  <c r="F41" i="7" l="1"/>
  <c r="C4" i="4"/>
  <c r="D14" i="2"/>
  <c r="C13" i="3"/>
  <c r="C11" i="3"/>
  <c r="C21" i="8" l="1"/>
  <c r="G41" i="7"/>
  <c r="H41" i="7"/>
  <c r="I41" i="7"/>
  <c r="F36" i="6"/>
  <c r="H36" i="6"/>
  <c r="J36" i="6"/>
  <c r="J17" i="6"/>
  <c r="I17" i="6"/>
  <c r="I36" i="6" s="1"/>
  <c r="H17" i="6"/>
  <c r="F17" i="6"/>
  <c r="F25" i="6" l="1"/>
  <c r="J21" i="6"/>
  <c r="I21" i="6"/>
  <c r="H21" i="6"/>
  <c r="F21" i="6"/>
  <c r="F3" i="7" l="1"/>
  <c r="F12" i="7"/>
  <c r="I21" i="7" l="1"/>
  <c r="J21" i="7"/>
  <c r="H21" i="7"/>
  <c r="J25" i="6"/>
  <c r="I25" i="6"/>
  <c r="H25" i="6"/>
  <c r="J28" i="7" l="1"/>
  <c r="H28" i="7"/>
  <c r="F12" i="6"/>
  <c r="F9" i="7" l="1"/>
  <c r="F10" i="7"/>
  <c r="F8" i="7"/>
  <c r="D18" i="8"/>
  <c r="D17" i="8"/>
  <c r="D14" i="8"/>
  <c r="C18" i="8"/>
  <c r="C17" i="8"/>
  <c r="C14" i="8"/>
  <c r="B18" i="8"/>
  <c r="B17" i="8"/>
  <c r="B14" i="8"/>
  <c r="D8" i="8"/>
  <c r="C8" i="8"/>
  <c r="B8" i="8"/>
  <c r="D4" i="8"/>
  <c r="C4" i="8"/>
  <c r="B4" i="8"/>
  <c r="C67" i="5"/>
  <c r="C62" i="5"/>
  <c r="C63" i="5"/>
  <c r="C64" i="5"/>
  <c r="C54" i="5"/>
  <c r="D54" i="5" s="1"/>
  <c r="E54" i="5" s="1"/>
  <c r="F54" i="5" s="1"/>
  <c r="G54" i="5" s="1"/>
  <c r="H54" i="5" s="1"/>
  <c r="I54" i="5" s="1"/>
  <c r="J54" i="5" s="1"/>
  <c r="C10" i="5" s="1"/>
  <c r="C49" i="5"/>
  <c r="C50" i="5"/>
  <c r="C51" i="5"/>
  <c r="C5" i="4"/>
  <c r="G5" i="4"/>
  <c r="M35" i="11"/>
  <c r="N35" i="11"/>
  <c r="M36" i="11"/>
  <c r="N36" i="11"/>
  <c r="O36" i="11"/>
  <c r="P36" i="11"/>
  <c r="L36" i="11"/>
  <c r="K36" i="11"/>
  <c r="K35" i="11"/>
  <c r="Q35" i="11" s="1"/>
  <c r="P34" i="11"/>
  <c r="O34" i="11"/>
  <c r="N34" i="11"/>
  <c r="M34" i="11"/>
  <c r="L34" i="11"/>
  <c r="K34" i="11"/>
  <c r="P30" i="11"/>
  <c r="O30" i="11"/>
  <c r="N30" i="11"/>
  <c r="M30" i="11"/>
  <c r="L30" i="11"/>
  <c r="K30" i="11"/>
  <c r="Q30" i="11"/>
  <c r="P29" i="11"/>
  <c r="O29" i="11"/>
  <c r="N29" i="11"/>
  <c r="M29" i="11"/>
  <c r="L29" i="11"/>
  <c r="K29" i="11"/>
  <c r="B67" i="5"/>
  <c r="B54" i="5"/>
  <c r="G7" i="4"/>
  <c r="C7" i="4"/>
  <c r="C39" i="11"/>
  <c r="H37" i="11"/>
  <c r="D39" i="11"/>
  <c r="F39" i="11"/>
  <c r="G39" i="11"/>
  <c r="E39" i="11"/>
  <c r="E38" i="11"/>
  <c r="G37" i="11"/>
  <c r="D37" i="11"/>
  <c r="C37" i="11"/>
  <c r="G34" i="11"/>
  <c r="G33" i="11" s="1"/>
  <c r="F34" i="11"/>
  <c r="H31" i="11"/>
  <c r="F31" i="11"/>
  <c r="G31" i="11"/>
  <c r="G30" i="11"/>
  <c r="G29" i="11" s="1"/>
  <c r="F30" i="11"/>
  <c r="F33" i="11"/>
  <c r="F32" i="11" s="1"/>
  <c r="E34" i="11"/>
  <c r="E33" i="11"/>
  <c r="E31" i="11"/>
  <c r="E30" i="11"/>
  <c r="E29" i="11" s="1"/>
  <c r="E37" i="11" s="1"/>
  <c r="D33" i="11"/>
  <c r="D32" i="11" s="1"/>
  <c r="D34" i="11"/>
  <c r="C34" i="11"/>
  <c r="C32" i="11" s="1"/>
  <c r="C33" i="11"/>
  <c r="D31" i="11"/>
  <c r="C31" i="11"/>
  <c r="D30" i="11"/>
  <c r="C30" i="11"/>
  <c r="H30" i="11" s="1"/>
  <c r="T9" i="11"/>
  <c r="C26" i="14"/>
  <c r="B24" i="14"/>
  <c r="C22" i="14"/>
  <c r="S9" i="14"/>
  <c r="R9" i="14"/>
  <c r="Q9" i="14"/>
  <c r="P9" i="14"/>
  <c r="O9" i="14"/>
  <c r="N9" i="14"/>
  <c r="N26" i="14" s="1"/>
  <c r="M9" i="14"/>
  <c r="L9" i="14"/>
  <c r="S18" i="14"/>
  <c r="S26" i="14" s="1"/>
  <c r="R18" i="14"/>
  <c r="R26" i="14" s="1"/>
  <c r="Q18" i="14"/>
  <c r="P18" i="14"/>
  <c r="P26" i="14" s="1"/>
  <c r="O18" i="14"/>
  <c r="N18" i="14"/>
  <c r="M18" i="14"/>
  <c r="L18" i="14"/>
  <c r="L26" i="14" s="1"/>
  <c r="I18" i="14"/>
  <c r="H18" i="14"/>
  <c r="G18" i="14"/>
  <c r="F18" i="14"/>
  <c r="E18" i="14"/>
  <c r="D18" i="14"/>
  <c r="C18" i="14"/>
  <c r="B18" i="14"/>
  <c r="C9" i="14"/>
  <c r="D9" i="14"/>
  <c r="E9" i="14"/>
  <c r="F9" i="14"/>
  <c r="G9" i="14"/>
  <c r="H9" i="14"/>
  <c r="I9" i="14"/>
  <c r="B9" i="14"/>
  <c r="D22" i="14"/>
  <c r="E22" i="14"/>
  <c r="F22" i="14"/>
  <c r="G22" i="14"/>
  <c r="H22" i="14"/>
  <c r="I22" i="14"/>
  <c r="C23" i="14"/>
  <c r="D23" i="14"/>
  <c r="E23" i="14"/>
  <c r="F23" i="14"/>
  <c r="G23" i="14"/>
  <c r="H23" i="14"/>
  <c r="I23" i="14"/>
  <c r="C24" i="14"/>
  <c r="D24" i="14"/>
  <c r="E24" i="14"/>
  <c r="F24" i="14"/>
  <c r="G24" i="14"/>
  <c r="H24" i="14"/>
  <c r="I24" i="14"/>
  <c r="B23" i="14"/>
  <c r="B22" i="14"/>
  <c r="C25" i="14"/>
  <c r="E25" i="14"/>
  <c r="I25" i="14"/>
  <c r="B30" i="14"/>
  <c r="S25" i="14"/>
  <c r="R25" i="14"/>
  <c r="H25" i="14" s="1"/>
  <c r="Q25" i="14"/>
  <c r="G25" i="14" s="1"/>
  <c r="P25" i="14"/>
  <c r="F25" i="14" s="1"/>
  <c r="F26" i="14" s="1"/>
  <c r="O25" i="14"/>
  <c r="N25" i="14"/>
  <c r="D25" i="14" s="1"/>
  <c r="M25" i="14"/>
  <c r="L25" i="14"/>
  <c r="B25" i="14" s="1"/>
  <c r="S24" i="14"/>
  <c r="R24" i="14"/>
  <c r="Q24" i="14"/>
  <c r="P24" i="14"/>
  <c r="O24" i="14"/>
  <c r="N24" i="14"/>
  <c r="M24" i="14"/>
  <c r="L24" i="14"/>
  <c r="S23" i="14"/>
  <c r="R23" i="14"/>
  <c r="Q23" i="14"/>
  <c r="P23" i="14"/>
  <c r="O23" i="14"/>
  <c r="N23" i="14"/>
  <c r="M23" i="14"/>
  <c r="L23" i="14"/>
  <c r="S22" i="14"/>
  <c r="R22" i="14"/>
  <c r="Q22" i="14"/>
  <c r="P22" i="14"/>
  <c r="O22" i="14"/>
  <c r="N22" i="14"/>
  <c r="M22" i="14"/>
  <c r="L22" i="14"/>
  <c r="Q36" i="11" l="1"/>
  <c r="Q34" i="11"/>
  <c r="Q29" i="11"/>
  <c r="H39" i="11"/>
  <c r="E32" i="11"/>
  <c r="C29" i="11"/>
  <c r="G32" i="11"/>
  <c r="H33" i="11"/>
  <c r="H34" i="11"/>
  <c r="F29" i="11"/>
  <c r="F37" i="11" s="1"/>
  <c r="D29" i="11"/>
  <c r="M26" i="14"/>
  <c r="G26" i="14"/>
  <c r="E26" i="14"/>
  <c r="I26" i="14"/>
  <c r="B26" i="14"/>
  <c r="H26" i="14"/>
  <c r="Q26" i="14"/>
  <c r="D26" i="14"/>
  <c r="O26" i="14"/>
  <c r="H32" i="11" l="1"/>
  <c r="H29" i="11"/>
  <c r="S19" i="11" l="1"/>
  <c r="S20" i="11"/>
  <c r="G5" i="3" s="1"/>
  <c r="S21" i="11"/>
  <c r="G6" i="3" s="1"/>
  <c r="S22" i="11"/>
  <c r="S23" i="11"/>
  <c r="G10" i="3"/>
  <c r="G4" i="3"/>
  <c r="C10" i="3"/>
  <c r="C7" i="3"/>
  <c r="C5" i="3"/>
  <c r="C6" i="3"/>
  <c r="C6" i="4" s="1"/>
  <c r="G6" i="4" s="1"/>
  <c r="C4" i="3"/>
  <c r="H12" i="12"/>
  <c r="G12" i="12"/>
  <c r="J30" i="12"/>
  <c r="J29" i="12"/>
  <c r="K37" i="12"/>
  <c r="J37" i="12"/>
  <c r="I37" i="12"/>
  <c r="I31" i="12"/>
  <c r="J31" i="12"/>
  <c r="K31" i="12"/>
  <c r="J32" i="12"/>
  <c r="L32" i="12" s="1"/>
  <c r="J33" i="12"/>
  <c r="J34" i="12"/>
  <c r="I35" i="12"/>
  <c r="K35" i="12"/>
  <c r="I36" i="12"/>
  <c r="J36" i="12"/>
  <c r="D38" i="12"/>
  <c r="C38" i="12"/>
  <c r="B38" i="12"/>
  <c r="C35" i="12"/>
  <c r="D35" i="12"/>
  <c r="C36" i="12"/>
  <c r="D36" i="12"/>
  <c r="B36" i="12"/>
  <c r="B35" i="12"/>
  <c r="D30" i="12"/>
  <c r="C30" i="12"/>
  <c r="B30" i="12"/>
  <c r="D26" i="12"/>
  <c r="C26" i="12"/>
  <c r="K28" i="12"/>
  <c r="J28" i="12"/>
  <c r="I28" i="12"/>
  <c r="J27" i="12"/>
  <c r="I23" i="12"/>
  <c r="J23" i="12"/>
  <c r="J24" i="12"/>
  <c r="I25" i="12"/>
  <c r="J25" i="12"/>
  <c r="K25" i="12"/>
  <c r="C4" i="12"/>
  <c r="D4" i="12"/>
  <c r="D6" i="12" s="1"/>
  <c r="B4" i="12"/>
  <c r="B6" i="12" s="1"/>
  <c r="P4" i="12"/>
  <c r="O4" i="12"/>
  <c r="N4" i="12"/>
  <c r="B9" i="12"/>
  <c r="C9" i="12"/>
  <c r="D9" i="12"/>
  <c r="B17" i="12"/>
  <c r="C17" i="12"/>
  <c r="D17" i="12"/>
  <c r="D14" i="12"/>
  <c r="B14" i="12"/>
  <c r="K5" i="12"/>
  <c r="C10" i="12" s="1"/>
  <c r="J5" i="12"/>
  <c r="I5" i="12"/>
  <c r="H5" i="12"/>
  <c r="C6" i="12"/>
  <c r="G7" i="3" l="1"/>
  <c r="B28" i="12"/>
  <c r="D28" i="12" s="1"/>
  <c r="D29" i="12" s="1"/>
  <c r="D31" i="12" s="1"/>
  <c r="J35" i="12"/>
  <c r="B10" i="12"/>
  <c r="D10" i="12"/>
  <c r="D11" i="12" s="1"/>
  <c r="D12" i="12" s="1"/>
  <c r="D15" i="12" s="1"/>
  <c r="D16" i="12" s="1"/>
  <c r="D18" i="12" s="1"/>
  <c r="C11" i="12"/>
  <c r="C12" i="12" s="1"/>
  <c r="B11" i="12"/>
  <c r="Q49" i="5"/>
  <c r="R49" i="5" s="1"/>
  <c r="D50" i="5"/>
  <c r="E50" i="5" s="1"/>
  <c r="F50" i="5" s="1"/>
  <c r="G50" i="5" s="1"/>
  <c r="H50" i="5" s="1"/>
  <c r="I50" i="5" s="1"/>
  <c r="G3" i="8"/>
  <c r="C28" i="12" l="1"/>
  <c r="C29" i="12" s="1"/>
  <c r="C31" i="12" s="1"/>
  <c r="B29" i="12"/>
  <c r="B31" i="12" s="1"/>
  <c r="C15" i="12"/>
  <c r="C16" i="12" s="1"/>
  <c r="C18" i="12" s="1"/>
  <c r="B12" i="12"/>
  <c r="B15" i="12" s="1"/>
  <c r="B16" i="12" s="1"/>
  <c r="G10" i="12" s="1"/>
  <c r="C10" i="4" l="1"/>
  <c r="C11" i="4" s="1"/>
  <c r="B18" i="12"/>
  <c r="H10" i="12" s="1"/>
  <c r="O40" i="5"/>
  <c r="C15" i="8" l="1"/>
  <c r="D63" i="5"/>
  <c r="D13" i="8" l="1"/>
  <c r="C13" i="8"/>
  <c r="D64" i="5"/>
  <c r="J12" i="7"/>
  <c r="I12" i="7"/>
  <c r="C3" i="8" s="1"/>
  <c r="H12" i="7"/>
  <c r="B3" i="8" s="1"/>
  <c r="F23" i="4"/>
  <c r="F24" i="4"/>
  <c r="K64" i="5" l="1"/>
  <c r="D62" i="5" s="1"/>
  <c r="E62" i="5" s="1"/>
  <c r="F62" i="5" s="1"/>
  <c r="G62" i="5" s="1"/>
  <c r="H62" i="5" s="1"/>
  <c r="I62" i="5" s="1"/>
  <c r="J62" i="5" s="1"/>
  <c r="G5" i="5" s="1"/>
  <c r="D3" i="8"/>
  <c r="B13" i="8"/>
  <c r="K50" i="5"/>
  <c r="J6" i="4"/>
  <c r="C24" i="5"/>
  <c r="J7" i="4"/>
  <c r="J5" i="4"/>
  <c r="D21" i="8"/>
  <c r="B21" i="8"/>
  <c r="D24" i="8"/>
  <c r="B24" i="8"/>
  <c r="J34" i="7"/>
  <c r="D7" i="8" s="1"/>
  <c r="I34" i="7"/>
  <c r="H34" i="7"/>
  <c r="B7" i="8" s="1"/>
  <c r="J3" i="7"/>
  <c r="D2" i="8" s="1"/>
  <c r="I3" i="7"/>
  <c r="C2" i="8" s="1"/>
  <c r="J29" i="6"/>
  <c r="D16" i="8" s="1"/>
  <c r="I29" i="6"/>
  <c r="C16" i="8" s="1"/>
  <c r="H29" i="6"/>
  <c r="B16" i="8" s="1"/>
  <c r="H3" i="7"/>
  <c r="B2" i="8" s="1"/>
  <c r="F3" i="6"/>
  <c r="E64" i="5"/>
  <c r="F64" i="5" s="1"/>
  <c r="G64" i="5" s="1"/>
  <c r="H64" i="5" s="1"/>
  <c r="I64" i="5" s="1"/>
  <c r="J64" i="5" s="1"/>
  <c r="G7" i="5" s="1"/>
  <c r="E63" i="5"/>
  <c r="F63" i="5" s="1"/>
  <c r="G63" i="5" s="1"/>
  <c r="H63" i="5" s="1"/>
  <c r="I63" i="5" s="1"/>
  <c r="J63" i="5" s="1"/>
  <c r="G6" i="5" s="1"/>
  <c r="D59" i="5"/>
  <c r="E59" i="5" s="1"/>
  <c r="F59" i="5" s="1"/>
  <c r="G59" i="5" s="1"/>
  <c r="H59" i="5" s="1"/>
  <c r="I59" i="5" s="1"/>
  <c r="J59" i="5" s="1"/>
  <c r="A58" i="5"/>
  <c r="J50" i="5"/>
  <c r="C6" i="5" s="1"/>
  <c r="D46" i="5"/>
  <c r="E46" i="5" s="1"/>
  <c r="F46" i="5" s="1"/>
  <c r="G46" i="5" s="1"/>
  <c r="H46" i="5" s="1"/>
  <c r="I46" i="5" s="1"/>
  <c r="J46" i="5" s="1"/>
  <c r="F24" i="5"/>
  <c r="B24" i="5"/>
  <c r="F23" i="5"/>
  <c r="B23" i="5"/>
  <c r="F22" i="5"/>
  <c r="B22" i="5"/>
  <c r="F21" i="5"/>
  <c r="B21" i="5"/>
  <c r="F20" i="5"/>
  <c r="B20" i="5"/>
  <c r="F19" i="5"/>
  <c r="B19" i="5"/>
  <c r="F18" i="5"/>
  <c r="B18" i="5"/>
  <c r="G24" i="5"/>
  <c r="C24" i="4"/>
  <c r="B24" i="4"/>
  <c r="B23" i="4"/>
  <c r="G22" i="4"/>
  <c r="F22" i="4"/>
  <c r="C22" i="4"/>
  <c r="B22" i="4"/>
  <c r="G21" i="4"/>
  <c r="F21" i="4"/>
  <c r="C21" i="4"/>
  <c r="B21" i="4"/>
  <c r="G20" i="4"/>
  <c r="F20" i="4"/>
  <c r="B20" i="4"/>
  <c r="G19" i="4"/>
  <c r="F19" i="4"/>
  <c r="C19" i="4"/>
  <c r="B19" i="4"/>
  <c r="F18" i="4"/>
  <c r="B18" i="4"/>
  <c r="G23" i="3"/>
  <c r="F23" i="3"/>
  <c r="C23" i="3"/>
  <c r="B23" i="3"/>
  <c r="G22" i="3"/>
  <c r="F22" i="3"/>
  <c r="C22" i="3"/>
  <c r="B22" i="3"/>
  <c r="G21" i="3"/>
  <c r="F21" i="3"/>
  <c r="C21" i="3"/>
  <c r="B21" i="3"/>
  <c r="G20" i="3"/>
  <c r="F20" i="3"/>
  <c r="C20" i="3"/>
  <c r="B20" i="3"/>
  <c r="G19" i="3"/>
  <c r="F19" i="3"/>
  <c r="C19" i="3"/>
  <c r="B19" i="3"/>
  <c r="G18" i="3"/>
  <c r="F18" i="3"/>
  <c r="C18" i="3"/>
  <c r="B18" i="3"/>
  <c r="G11" i="3"/>
  <c r="G8" i="3"/>
  <c r="G12" i="3" s="1"/>
  <c r="C8" i="3"/>
  <c r="C12" i="3" s="1"/>
  <c r="I32" i="7" l="1"/>
  <c r="C6" i="8" s="1"/>
  <c r="C7" i="8"/>
  <c r="C27" i="8" s="1"/>
  <c r="C28" i="8"/>
  <c r="D15" i="8"/>
  <c r="B15" i="8"/>
  <c r="D49" i="5"/>
  <c r="E49" i="5" s="1"/>
  <c r="F49" i="5" s="1"/>
  <c r="G49" i="5" s="1"/>
  <c r="H49" i="5" s="1"/>
  <c r="I49" i="5" s="1"/>
  <c r="J49" i="5" s="1"/>
  <c r="C20" i="4"/>
  <c r="G19" i="5"/>
  <c r="G21" i="5"/>
  <c r="C19" i="5"/>
  <c r="C21" i="5"/>
  <c r="G22" i="5"/>
  <c r="G20" i="5"/>
  <c r="H32" i="7"/>
  <c r="B6" i="8" s="1"/>
  <c r="B26" i="8" s="1"/>
  <c r="J32" i="7"/>
  <c r="D6" i="8" s="1"/>
  <c r="H11" i="3"/>
  <c r="J3" i="6"/>
  <c r="I24" i="7"/>
  <c r="B23" i="8"/>
  <c r="D28" i="8"/>
  <c r="B27" i="8"/>
  <c r="I3" i="6"/>
  <c r="C23" i="8"/>
  <c r="D27" i="8"/>
  <c r="C24" i="8"/>
  <c r="B28" i="8"/>
  <c r="G24" i="4"/>
  <c r="C5" i="8" l="1"/>
  <c r="C25" i="8" s="1"/>
  <c r="C12" i="8"/>
  <c r="C22" i="8" s="1"/>
  <c r="G4" i="4"/>
  <c r="C61" i="5" s="1"/>
  <c r="D12" i="8"/>
  <c r="D19" i="8" s="1"/>
  <c r="H24" i="8" s="1"/>
  <c r="D26" i="8"/>
  <c r="C5" i="5"/>
  <c r="C20" i="5" s="1"/>
  <c r="J24" i="7"/>
  <c r="G2" i="8"/>
  <c r="G5" i="8" s="1"/>
  <c r="D6" i="3"/>
  <c r="D7" i="3"/>
  <c r="D4" i="3"/>
  <c r="D10" i="3"/>
  <c r="D5" i="3"/>
  <c r="D11" i="3"/>
  <c r="D9" i="3"/>
  <c r="D8" i="3"/>
  <c r="C26" i="8"/>
  <c r="H4" i="3"/>
  <c r="H7" i="3"/>
  <c r="H10" i="3"/>
  <c r="H5" i="3"/>
  <c r="H6" i="3"/>
  <c r="H9" i="3"/>
  <c r="G4" i="8"/>
  <c r="H8" i="3"/>
  <c r="C9" i="8" l="1"/>
  <c r="H3" i="8" s="1"/>
  <c r="J3" i="8" s="1"/>
  <c r="G23" i="8" s="1"/>
  <c r="J41" i="7"/>
  <c r="D5" i="8"/>
  <c r="D9" i="8" s="1"/>
  <c r="H4" i="8" s="1"/>
  <c r="J4" i="8" s="1"/>
  <c r="G24" i="8" s="1"/>
  <c r="C19" i="8"/>
  <c r="H23" i="8" s="1"/>
  <c r="D22" i="8"/>
  <c r="D25" i="8"/>
  <c r="K69" i="5"/>
  <c r="C29" i="8"/>
  <c r="D23" i="8"/>
  <c r="L3" i="8" l="1"/>
  <c r="I23" i="8"/>
  <c r="J23" i="8"/>
  <c r="D29" i="8"/>
  <c r="C23" i="4"/>
  <c r="J10" i="4"/>
  <c r="G8" i="4" l="1"/>
  <c r="G12" i="4" s="1"/>
  <c r="I24" i="8" s="1"/>
  <c r="G18" i="4"/>
  <c r="C55" i="5"/>
  <c r="D61" i="5" l="1"/>
  <c r="E61" i="5" s="1"/>
  <c r="F61" i="5" s="1"/>
  <c r="G61" i="5" s="1"/>
  <c r="C65" i="5"/>
  <c r="D65" i="5" l="1"/>
  <c r="H24" i="7"/>
  <c r="B5" i="8" s="1"/>
  <c r="D55" i="5" l="1"/>
  <c r="E65" i="5"/>
  <c r="E55" i="5" l="1"/>
  <c r="F65" i="5"/>
  <c r="B25" i="8"/>
  <c r="F55" i="5" l="1"/>
  <c r="G65" i="5"/>
  <c r="H61" i="5"/>
  <c r="G55" i="5" l="1"/>
  <c r="H65" i="5"/>
  <c r="I61" i="5"/>
  <c r="H55" i="5" l="1"/>
  <c r="I65" i="5"/>
  <c r="J61" i="5"/>
  <c r="G4" i="5" s="1"/>
  <c r="I55" i="5" l="1"/>
  <c r="J65" i="5"/>
  <c r="J55" i="5" l="1"/>
  <c r="G18" i="5"/>
  <c r="G8" i="5"/>
  <c r="C23" i="5" l="1"/>
  <c r="C11" i="5"/>
  <c r="B24" i="12" l="1"/>
  <c r="D24" i="12" s="1"/>
  <c r="D25" i="12" s="1"/>
  <c r="D27" i="12" l="1"/>
  <c r="D32" i="12"/>
  <c r="D34" i="12" s="1"/>
  <c r="D37" i="12" s="1"/>
  <c r="D39" i="12" s="1"/>
  <c r="C24" i="12"/>
  <c r="C25" i="12" s="1"/>
  <c r="B25" i="12"/>
  <c r="C32" i="12" l="1"/>
  <c r="C34" i="12" s="1"/>
  <c r="C37" i="12" s="1"/>
  <c r="C39" i="12" s="1"/>
  <c r="C27" i="12"/>
  <c r="B27" i="12"/>
  <c r="B32" i="12"/>
  <c r="B34" i="12" s="1"/>
  <c r="B37" i="12" s="1"/>
  <c r="B39" i="12" l="1"/>
  <c r="H11" i="12" s="1"/>
  <c r="G11" i="12"/>
  <c r="G10" i="4" l="1"/>
  <c r="G11" i="4" l="1"/>
  <c r="H11" i="4" s="1"/>
  <c r="G23" i="4"/>
  <c r="D67" i="5"/>
  <c r="C68" i="5"/>
  <c r="C69" i="5" l="1"/>
  <c r="D68" i="5"/>
  <c r="E68" i="5" s="1"/>
  <c r="F68" i="5" s="1"/>
  <c r="G68" i="5" s="1"/>
  <c r="H68" i="5" s="1"/>
  <c r="I68" i="5" s="1"/>
  <c r="J68" i="5" s="1"/>
  <c r="H7" i="4"/>
  <c r="I4" i="8"/>
  <c r="L4" i="8" s="1"/>
  <c r="H4" i="4"/>
  <c r="H5" i="4"/>
  <c r="H6" i="4"/>
  <c r="H9" i="4"/>
  <c r="H8" i="4"/>
  <c r="H10" i="4"/>
  <c r="E67" i="5"/>
  <c r="D69" i="5"/>
  <c r="E69" i="5" l="1"/>
  <c r="F67" i="5"/>
  <c r="F69" i="5" l="1"/>
  <c r="G67" i="5"/>
  <c r="H67" i="5" l="1"/>
  <c r="G69" i="5"/>
  <c r="H69" i="5" l="1"/>
  <c r="I67" i="5"/>
  <c r="I69" i="5" l="1"/>
  <c r="J67" i="5"/>
  <c r="H3" i="6"/>
  <c r="B12" i="8" l="1"/>
  <c r="B19" i="8" s="1"/>
  <c r="H22" i="8" s="1"/>
  <c r="G10" i="5"/>
  <c r="D51" i="5"/>
  <c r="E51" i="5" s="1"/>
  <c r="F51" i="5" s="1"/>
  <c r="G51" i="5" s="1"/>
  <c r="H51" i="5" s="1"/>
  <c r="I51" i="5" s="1"/>
  <c r="J51" i="5" s="1"/>
  <c r="C7" i="5" s="1"/>
  <c r="C22" i="5" s="1"/>
  <c r="B9" i="8"/>
  <c r="H2" i="8" s="1"/>
  <c r="B22" i="8" l="1"/>
  <c r="B29" i="8" s="1"/>
  <c r="C48" i="5"/>
  <c r="D48" i="5" s="1"/>
  <c r="D52" i="5" s="1"/>
  <c r="D56" i="5" s="1"/>
  <c r="J4" i="4"/>
  <c r="C8" i="4"/>
  <c r="C12" i="4" s="1"/>
  <c r="C18" i="4"/>
  <c r="M2" i="8"/>
  <c r="J2" i="8"/>
  <c r="J5" i="8" s="1"/>
  <c r="G23" i="5"/>
  <c r="G11" i="5"/>
  <c r="L2" i="8" l="1"/>
  <c r="G22" i="8"/>
  <c r="G25" i="8" s="1"/>
  <c r="C52" i="5"/>
  <c r="C56" i="5" s="1"/>
  <c r="E48" i="5"/>
  <c r="F48" i="5" s="1"/>
  <c r="G48" i="5" s="1"/>
  <c r="I2" i="8"/>
  <c r="C13" i="4"/>
  <c r="G12" i="5"/>
  <c r="H11" i="5" s="1"/>
  <c r="F52" i="5" l="1"/>
  <c r="F56" i="5" s="1"/>
  <c r="E52" i="5"/>
  <c r="E56" i="5" s="1"/>
  <c r="I22" i="8"/>
  <c r="L23" i="8"/>
  <c r="H9" i="5"/>
  <c r="J24" i="8"/>
  <c r="L24" i="8" s="1"/>
  <c r="H5" i="5"/>
  <c r="H7" i="5"/>
  <c r="H4" i="5"/>
  <c r="H8" i="5"/>
  <c r="H6" i="5"/>
  <c r="H10" i="5"/>
  <c r="G52" i="5"/>
  <c r="G56" i="5" s="1"/>
  <c r="H48" i="5"/>
  <c r="H52" i="5" l="1"/>
  <c r="H56" i="5" s="1"/>
  <c r="I48" i="5"/>
  <c r="J48" i="5" l="1"/>
  <c r="I52" i="5"/>
  <c r="I56" i="5" s="1"/>
  <c r="J52" i="5" l="1"/>
  <c r="J56" i="5" s="1"/>
  <c r="C4" i="5"/>
  <c r="C8" i="5" l="1"/>
  <c r="C12" i="5" s="1"/>
  <c r="J22" i="8" s="1"/>
  <c r="C18" i="5"/>
  <c r="L22" i="8" l="1"/>
  <c r="J25" i="8"/>
</calcChain>
</file>

<file path=xl/sharedStrings.xml><?xml version="1.0" encoding="utf-8"?>
<sst xmlns="http://schemas.openxmlformats.org/spreadsheetml/2006/main" count="1126" uniqueCount="352">
  <si>
    <t>Nr działania</t>
  </si>
  <si>
    <t>Obiekt/ zadanie</t>
  </si>
  <si>
    <t>Opis</t>
  </si>
  <si>
    <t>Podmiot odpowie- dzialny</t>
  </si>
  <si>
    <t xml:space="preserve"> Termin rozpoczęcia i zakończenia </t>
  </si>
  <si>
    <t>Szacowane koszty</t>
  </si>
  <si>
    <t>Źródło finansowania</t>
  </si>
  <si>
    <t>Oszczędności energii do 2020 r.</t>
  </si>
  <si>
    <t>Roczna redukcja emisji CO2 do 2020 r.</t>
  </si>
  <si>
    <t>MWh</t>
  </si>
  <si>
    <t>Mg CO2</t>
  </si>
  <si>
    <t>Budynki użyteczności publicznej</t>
  </si>
  <si>
    <t xml:space="preserve">Beznakładowe, realizowane będzie przez pracowników zatrudnionych w Urzędzie </t>
  </si>
  <si>
    <t>-</t>
  </si>
  <si>
    <t>Budynki mieszkalne</t>
  </si>
  <si>
    <t>Przedsiębiorcy</t>
  </si>
  <si>
    <t>Transport</t>
  </si>
  <si>
    <t>Oświetlenie</t>
  </si>
  <si>
    <t>Zarządzanie energią</t>
  </si>
  <si>
    <t>Spójna polityka energetyczna</t>
  </si>
  <si>
    <t>Spójne planowanie przestrzenne inwestycji energetycznych</t>
  </si>
  <si>
    <t>Świadomość energetyczna</t>
  </si>
  <si>
    <t>Współpraca z mieszkańcami oraz przedsiębiorcami działającymi na terenie Gminy</t>
  </si>
  <si>
    <t>Aktualizacja Planu Gospodarki Niskoemisyjnej wraz z aktualizacją bazy PGN</t>
  </si>
  <si>
    <t>RAZEM:</t>
  </si>
  <si>
    <t>2015-2020</t>
  </si>
  <si>
    <t>Rodzaj paliwa</t>
  </si>
  <si>
    <t>[Wartość]</t>
  </si>
  <si>
    <t>[Jednostka]</t>
  </si>
  <si>
    <t>Gaz ziemny</t>
  </si>
  <si>
    <t>Gaz ciekły</t>
  </si>
  <si>
    <t>Olej opałowy</t>
  </si>
  <si>
    <t>Lp</t>
  </si>
  <si>
    <t>Kategoria</t>
  </si>
  <si>
    <t>Energia elektryczna</t>
  </si>
  <si>
    <t>I</t>
  </si>
  <si>
    <t>BUDYNKI, WYPOSAŻENIE/URZĄDZENIA I PRZEMYSŁ</t>
  </si>
  <si>
    <t>I.1</t>
  </si>
  <si>
    <t>Budynki, wyposażenie/ urządzenia komunalne</t>
  </si>
  <si>
    <t>I.2</t>
  </si>
  <si>
    <t>I.3</t>
  </si>
  <si>
    <t>Komunalne oświetlenie uliczne</t>
  </si>
  <si>
    <t>I.4</t>
  </si>
  <si>
    <t>Przedsiębiorstwa</t>
  </si>
  <si>
    <t>RAZEM I:</t>
  </si>
  <si>
    <t>II</t>
  </si>
  <si>
    <t>TRANSPORT</t>
  </si>
  <si>
    <t>II.1</t>
  </si>
  <si>
    <t>RAZEM II:</t>
  </si>
  <si>
    <t>I.5</t>
  </si>
  <si>
    <t>Emisja CO2</t>
  </si>
  <si>
    <t>Energia finalna</t>
  </si>
  <si>
    <t>Lp.</t>
  </si>
  <si>
    <t>Wyszczególnienie</t>
  </si>
  <si>
    <t>[%]</t>
  </si>
  <si>
    <t>I.1.1</t>
  </si>
  <si>
    <t>I.1.2</t>
  </si>
  <si>
    <t>I.1.3</t>
  </si>
  <si>
    <t>I.1.4</t>
  </si>
  <si>
    <t>I.1.5</t>
  </si>
  <si>
    <t>Wskaźnik do prognozy (roczny)</t>
  </si>
  <si>
    <t>środki własne</t>
  </si>
  <si>
    <t>RAZEM 2020 + 2027</t>
  </si>
  <si>
    <t>Oszczędności energii do 2027 r.</t>
  </si>
  <si>
    <t>Roczna redukcja emisji CO2 do 2027 r.</t>
  </si>
  <si>
    <t>Pozycja</t>
  </si>
  <si>
    <t>Wartość wskaźnika oszczędności monitoringowego w roku 2020</t>
  </si>
  <si>
    <t>Wartość bez uwzględnienia inwestycji w roku 2020 (BAU 2020)</t>
  </si>
  <si>
    <t>Wartość w roku 2020 z uwzględnieniem inwestycji (MEI 2020)</t>
  </si>
  <si>
    <t>Wskaźnik do PGN</t>
  </si>
  <si>
    <t>Wskaźnik redukcji zużycia energii finalnej</t>
  </si>
  <si>
    <t>Produkcja energii z OZE</t>
  </si>
  <si>
    <t>Wskaźnik wzrostu udziału energii pochodzącej ze źródeł odnawialnych w stosunku do przyjętego roku bazowego</t>
  </si>
  <si>
    <r>
      <t>Emisja CO</t>
    </r>
    <r>
      <rPr>
        <b/>
        <vertAlign val="subscript"/>
        <sz val="10"/>
        <color theme="1"/>
        <rFont val="Arial"/>
        <family val="2"/>
        <charset val="238"/>
      </rPr>
      <t>2</t>
    </r>
  </si>
  <si>
    <t>Wskaźnik redukcji emisji CO2</t>
  </si>
  <si>
    <t>Węgiel kamienny</t>
  </si>
  <si>
    <t>2018-2021</t>
  </si>
  <si>
    <t>Wartość wskaźnika oszczędności monitoringowego w roku 2027</t>
  </si>
  <si>
    <t>Wartość bez uwzględnienia inwestycji w roku 2027 (BAU 2020)</t>
  </si>
  <si>
    <t>Wartość w roku 2020 z uwzględnieniem inwestycji (MEI 027)</t>
  </si>
  <si>
    <t>Energia</t>
  </si>
  <si>
    <t>CO2</t>
  </si>
  <si>
    <t>Do 2027</t>
  </si>
  <si>
    <t>Do 2020</t>
  </si>
  <si>
    <t>CO</t>
  </si>
  <si>
    <t>2019-2020</t>
  </si>
  <si>
    <t>Wartości opałowa (WO)</t>
  </si>
  <si>
    <r>
      <t>Wskaźniki emisji CO</t>
    </r>
    <r>
      <rPr>
        <b/>
        <vertAlign val="subscript"/>
        <sz val="10"/>
        <color theme="0"/>
        <rFont val="Arial"/>
        <family val="2"/>
        <charset val="238"/>
      </rPr>
      <t>2</t>
    </r>
    <r>
      <rPr>
        <b/>
        <sz val="10"/>
        <color theme="0"/>
        <rFont val="Arial"/>
        <family val="2"/>
        <charset val="238"/>
      </rPr>
      <t xml:space="preserve"> (WE)</t>
    </r>
  </si>
  <si>
    <t>Gaz ziemny z sieci</t>
  </si>
  <si>
    <r>
      <t>MJ/m</t>
    </r>
    <r>
      <rPr>
        <vertAlign val="superscript"/>
        <sz val="10"/>
        <color theme="1"/>
        <rFont val="Arial"/>
        <family val="2"/>
        <charset val="238"/>
      </rPr>
      <t>3</t>
    </r>
  </si>
  <si>
    <t>kg/GJ</t>
  </si>
  <si>
    <t>Gaz ziemny zaazotowany</t>
  </si>
  <si>
    <t>Gaz z odmetanowania kopalń</t>
  </si>
  <si>
    <t>Biomasa/drewno</t>
  </si>
  <si>
    <t>MJ/kg</t>
  </si>
  <si>
    <t>Biogaz</t>
  </si>
  <si>
    <t>Koks</t>
  </si>
  <si>
    <t>Benzyny silnikowe</t>
  </si>
  <si>
    <t>Paliwa odrzutowe</t>
  </si>
  <si>
    <t>Olej napędowy (w tym olej opałowy lekki)</t>
  </si>
  <si>
    <t>Węgiel brunatny</t>
  </si>
  <si>
    <t>kg/MWh</t>
  </si>
  <si>
    <t>RAZEM</t>
  </si>
  <si>
    <t>Miejski system ciepłowniczy</t>
  </si>
  <si>
    <t>2020-2022</t>
  </si>
  <si>
    <t>Benzyna</t>
  </si>
  <si>
    <t>LPG</t>
  </si>
  <si>
    <t>Transport osobowy</t>
  </si>
  <si>
    <t>Paliwo</t>
  </si>
  <si>
    <t>Olej napędowy</t>
  </si>
  <si>
    <t>Liczba samochodów przyjęta do wyliczeń - OGÓŁEM na terenie całej Gminy</t>
  </si>
  <si>
    <t>Udział samochodów</t>
  </si>
  <si>
    <t>Liczba samochodów przyjęta do wyliczeń</t>
  </si>
  <si>
    <t>Średnie spalanie samochodu osobowego przyjęte dla danego paliwa</t>
  </si>
  <si>
    <t>Średni przebieg roczny samochodu osobowego przyjęty dla danego paliwa</t>
  </si>
  <si>
    <t>Wskaźnik udziału dróg gminnych na terenie województwa</t>
  </si>
  <si>
    <t>Średni roczny przebieg samochodu na drogach gminnych</t>
  </si>
  <si>
    <t>Dystans łączny  samochodów osobowych dla danej kategorii paliwa</t>
  </si>
  <si>
    <t>Zużycie paliwa łączne dla samochodów osobowych dla danej kategorii paliwa</t>
  </si>
  <si>
    <t>Energia finalna w MWh</t>
  </si>
  <si>
    <t>Wskaźnik</t>
  </si>
  <si>
    <t>Ogółem</t>
  </si>
  <si>
    <t>Krajowe</t>
  </si>
  <si>
    <t>Wojewódzkie</t>
  </si>
  <si>
    <t>Powiatowe</t>
  </si>
  <si>
    <t>Gminne</t>
  </si>
  <si>
    <t>Długość dróg w km</t>
  </si>
  <si>
    <t>Udział dróg w podziale na kategorie w %</t>
  </si>
  <si>
    <t>Wartość opałowa paliwa
MJ/kg</t>
  </si>
  <si>
    <t>Gęstość paliwa
[kg/l]</t>
  </si>
  <si>
    <t>Zużycie paliwa łączne dla samochodów osobowych dla danej kategorii paliwa litry</t>
  </si>
  <si>
    <t>Wskaźnik emisji paliwa paliwa
MJ/kg</t>
  </si>
  <si>
    <t>Transport ciężarowy</t>
  </si>
  <si>
    <t>Emisja</t>
  </si>
  <si>
    <t>Pojazd</t>
  </si>
  <si>
    <t>Pojazdy samochodowe na 1000 ludności</t>
  </si>
  <si>
    <t>Liczba ludności w tys.</t>
  </si>
  <si>
    <t>Liczba pojazdów</t>
  </si>
  <si>
    <t>samochody osobowe</t>
  </si>
  <si>
    <t>Wartość opałowa paliwa [MJ/kg]</t>
  </si>
  <si>
    <t>Gęstość paliwa [kg/l]</t>
  </si>
  <si>
    <t>Lekkie samochody ciężarowe</t>
  </si>
  <si>
    <t>Samochody ciężarowe</t>
  </si>
  <si>
    <t>Autobusy</t>
  </si>
  <si>
    <t>Nazwa odcinka</t>
  </si>
  <si>
    <t>Numer punktu pomiarowego</t>
  </si>
  <si>
    <t>STRZELCE OPOLSKIE-DK 94</t>
  </si>
  <si>
    <t>GOGOLIN-STRZELCE OPOLSKIE</t>
  </si>
  <si>
    <t>Średnia</t>
  </si>
  <si>
    <t>Numer drogi</t>
  </si>
  <si>
    <t>DW 409</t>
  </si>
  <si>
    <t>ZAWADZKIE-STRZELCE OPOLSKIE</t>
  </si>
  <si>
    <t>STRZELCE OPOLSKIE-OLSZOWA</t>
  </si>
  <si>
    <t>DW 426</t>
  </si>
  <si>
    <t>IZBICKO-STRZELCE OP.</t>
  </si>
  <si>
    <t>STRZELCE OP./PRZEJŚCIE/</t>
  </si>
  <si>
    <t>STRZELCE OP.-TOSZEK /DW 907/</t>
  </si>
  <si>
    <t>DK94</t>
  </si>
  <si>
    <t>Liczba ciężarówek na terenie Gminy na drogach krajowych</t>
  </si>
  <si>
    <t>Liczba ciężarówek na terenie Gminy na drogach krajowych w podziale na paliwa</t>
  </si>
  <si>
    <t>Długość dróg krajowych na terenie Gminy</t>
  </si>
  <si>
    <t>Liczba wozokilemtrów przyjęta do wyliczeń na terenie Gminy na drogach krajowych</t>
  </si>
  <si>
    <t>Liczba ciężarówek na terenie Gminy na drogach powiatowych</t>
  </si>
  <si>
    <t>Liczba ciężarówek na terenie Gminy na drogach powiatowych w podziale na paliwa</t>
  </si>
  <si>
    <t>Długość dróg powiatowych na terenie Gminy</t>
  </si>
  <si>
    <t>Liczba wozokilemtrów przyjęta do wyliczeń na terenie Gminy na drogach powiatowych</t>
  </si>
  <si>
    <t>DK88</t>
  </si>
  <si>
    <t>STRZELCE OP.-NOGOWCZYCE</t>
  </si>
  <si>
    <t>Liczba wozokilometrów w ciągu roku</t>
  </si>
  <si>
    <t>Ciepło/ chłód</t>
  </si>
  <si>
    <t>Paliwa kopalne</t>
  </si>
  <si>
    <t>Odnawialne źródła energii</t>
  </si>
  <si>
    <t>Inne</t>
  </si>
  <si>
    <t>Węgiel (miał)</t>
  </si>
  <si>
    <t>Inne paliwa kopalne</t>
  </si>
  <si>
    <t>Biopaliwo</t>
  </si>
  <si>
    <t>Olej roślinny</t>
  </si>
  <si>
    <t>Inna biomasa</t>
  </si>
  <si>
    <t>Słoneczna cieplna</t>
  </si>
  <si>
    <t>Geotermiczna</t>
  </si>
  <si>
    <t>MWh/a</t>
  </si>
  <si>
    <t>30 932</t>
  </si>
  <si>
    <t>Przemysł</t>
  </si>
  <si>
    <t>Handel</t>
  </si>
  <si>
    <t>35 027</t>
  </si>
  <si>
    <t>Końcowe zużycie energii w Gminie Strzelce Opolskie w 2013 roku</t>
  </si>
  <si>
    <t>2 862</t>
  </si>
  <si>
    <t>8 676</t>
  </si>
  <si>
    <t>18 158</t>
  </si>
  <si>
    <t>12 989</t>
  </si>
  <si>
    <t>5 405</t>
  </si>
  <si>
    <t>32 913</t>
  </si>
  <si>
    <t>Emisje CO2 lub ekwiwalentu CO2 w Gminie Strzelce Opolskie w 2013 roku</t>
  </si>
  <si>
    <t>Prognozowana wielkość sprzedaży</t>
  </si>
  <si>
    <t>GJ</t>
  </si>
  <si>
    <t>Wspólnoty mieszkaniowe, budynki komunalne, spółdzielnie mieszkaniowe</t>
  </si>
  <si>
    <t>Przemysł, usługi</t>
  </si>
  <si>
    <t>Instytucje użyteczności publicznej</t>
  </si>
  <si>
    <t>Odbiorcy indywidualni</t>
  </si>
  <si>
    <t>Zapotrzebowanie na energię elektryczną</t>
  </si>
  <si>
    <t>Grupa taryfowa A (odbiorcy na wysokim napięciu)</t>
  </si>
  <si>
    <t>Miasto Strzelce</t>
  </si>
  <si>
    <t>Ilość odbiorców</t>
  </si>
  <si>
    <t>Roczne zużycie energii elektrycznej</t>
  </si>
  <si>
    <t>Grupa taryfowa C (odbiorcy pobierający energię elektryczną na cele producyjne i usługowe na niskim napięciu)</t>
  </si>
  <si>
    <t>Grupa taryfowa B (odbiorcy pobierający energię elektryczną na cele producyjne i usługowe na średnim napięciu)</t>
  </si>
  <si>
    <t>Powiat strzelecki</t>
  </si>
  <si>
    <t>Powiat</t>
  </si>
  <si>
    <t>Strzelce</t>
  </si>
  <si>
    <t>10-49</t>
  </si>
  <si>
    <t>50-249</t>
  </si>
  <si>
    <t>250-999</t>
  </si>
  <si>
    <t>1000-</t>
  </si>
  <si>
    <t>Umowy kompleksowe</t>
  </si>
  <si>
    <t>Grupa taryfowa G (odbiorcy komunalno-bytowi na niskim napięciu)</t>
  </si>
  <si>
    <t>Umowy dystrybucyjne</t>
  </si>
  <si>
    <t>Ciepło</t>
  </si>
  <si>
    <t>Handel i usługi</t>
  </si>
  <si>
    <r>
      <t>Emisja CO</t>
    </r>
    <r>
      <rPr>
        <b/>
        <vertAlign val="subscript"/>
        <sz val="10"/>
        <color theme="1"/>
        <rFont val="Arial"/>
        <family val="2"/>
        <charset val="238"/>
      </rPr>
      <t>2</t>
    </r>
    <r>
      <rPr>
        <b/>
        <sz val="10"/>
        <color theme="1"/>
        <rFont val="Arial"/>
        <family val="2"/>
        <charset val="238"/>
      </rPr>
      <t>, w tym:</t>
    </r>
  </si>
  <si>
    <t>Zużycie energii finalnej, w tym:
[MWh]</t>
  </si>
  <si>
    <r>
      <t>Emisja CO</t>
    </r>
    <r>
      <rPr>
        <vertAlign val="subscript"/>
        <sz val="10"/>
        <color theme="1"/>
        <rFont val="Arial"/>
        <family val="2"/>
        <charset val="238"/>
      </rPr>
      <t>2</t>
    </r>
    <r>
      <rPr>
        <sz val="10"/>
        <color theme="1"/>
        <rFont val="Arial"/>
        <family val="2"/>
        <charset val="238"/>
      </rPr>
      <t>,</t>
    </r>
  </si>
  <si>
    <t>WE CO2
[kg/GJ]</t>
  </si>
  <si>
    <t>Mieszkania</t>
  </si>
  <si>
    <t>Termomodernizacja budynku filii DPS w Strzelcach Opolskich w Szymiszowie wraz z wykorzystaniem Odnawialnych źrodeł energii</t>
  </si>
  <si>
    <t>Efekt projektu został ustalony w oparciu o dane pochodzące z Planu Gospodarki Niskoemisyjnej przyjętego uchwała nr XXV/201/2016 z dnia 28.09.2016 roku.</t>
  </si>
  <si>
    <t>Starostwo Powiatowe w Strzlecach Opolskich, Wydział Inwestycji i Zarządzania Funduszami</t>
  </si>
  <si>
    <t>2016-2018</t>
  </si>
  <si>
    <t>Środki własne/
RPO/ NFOŚiGW/
WFOŚiGW</t>
  </si>
  <si>
    <t>Przebudowa systemu grzewczego wraz z wymianą instalacji elektrycznej,  wymianą pokrycia dachowego i dociepleniem podłóg w CKZiU w Strzelcach Opolskich</t>
  </si>
  <si>
    <t>Starostwo Powiatowe w Strzlecach Opolskich, Referat Inwestycyjno-Techniczny</t>
  </si>
  <si>
    <t>Termomodernizacja budynku Starostwa Powiatowego w Strzelcach Opolskich wraz z wykorzystaniem OZE</t>
  </si>
  <si>
    <t>Starostwo Powiatowe w Strzlecach Opolskich, Wydział Architektoniczno-Budowlany</t>
  </si>
  <si>
    <t>Wymiana instalacji C.O w budynku ZSO w Strzelcach Opolskich</t>
  </si>
  <si>
    <t>Starostwo Powiatowe w Strzlecach Opolskich, Wydział
Architektoniczno-
Budowlany</t>
  </si>
  <si>
    <t>2016-2017</t>
  </si>
  <si>
    <t>Środki własne</t>
  </si>
  <si>
    <t>Termomodernizacja budynku Przedszkola Publicznego nr 4 w Strzelcach Opolskich</t>
  </si>
  <si>
    <t>W ramach zadania wykonano:
1) Roboty dociepleniowe i wykończeniowe: montaż parapetów zewnętrznych, docieplenie styropianem ścian, podziemia i ścian nadziemia oraz wykonanie tynków zewnętrznych na siatce według wytycznych producenta tynków, wybranego przez Inwestora, osadzenie nowych kratek nawiewnych wentylacyjnych, montaż nowej instalacji piorunochronnej, wykonanie nowych obróbek blacharskich, montaż nowych rynien i rur spustowych, docieplenie stropodachu nad najwyższą kondygnacją;
2) Budowa instalacji solarnej,
3) Przebudowa instalacji elektrycznej.</t>
  </si>
  <si>
    <t>Gminny Zarząd Obsługi Jednostek</t>
  </si>
  <si>
    <t>2018-2020</t>
  </si>
  <si>
    <t>Termomodernizacja budynku Przedszkola Publicznego nr 8 w Strzelcach Opolskich.</t>
  </si>
  <si>
    <t>Termomodernizacja budynku Przedszkola Publicznego nr 8 w Strzelcach Opolskich, obejmująca:
1) Roboty dociepleniowe i wykończeniowe: roboty rozbiórkowe i przygotowawcze; docieplenie ścian zewnętrznych i stropodachu oraz wykonanie nowych parapetów; docieplenie ścian fundamentowych; wymianę okna piwnicznego oraz drzwi zewnętrznych; zabudowę podnośnika dla osób niepełnosprawnych;  budowę nowych schodów zewnętrznych wraz z zadaszeniem i spocznikiem; budowę podestu ze schodami zewn. do pomieszczeń gospodarczych; budowę schodów zewnętrznych z sal zabawowych na plac zabaw; przebudowę instalacji c.o.
- wymianę instalacji odwodnienia budynku; wymianę instalacji odgromowej; - wykonanie instalacji elektrycznej zasilania podnośnika; 
2) Wykonanie instalacji solarnej;
3) Wymianę opraw i źródeł oświetleniowych w pomieszczeniach przedszkola.</t>
  </si>
  <si>
    <t>Termomodernizacja budynku Przedszkola Publicznego nr 9 w Strzelcach Opolskich.</t>
  </si>
  <si>
    <t>Termomodernizacja budynku Przedszkola Publicznego nr 9 w Strzelcach Opolskich, obejmująca:
1) Roboty dociepleniowe i wykończeniowe: docieplenie ścian zewnętrznych i stropodachu oraz wykonanie nowych parapetów, docieplenie ścian fundamentowych; wymianę okien piwnicznych oraz drzwi zewnętrznych; budowę pochylni dla osób niepełnosprawnych; budowę nowych schodów zewnętrznych wraz z zadaszeniem i spocznikiem;  budowę podestu ze schodami zewn. do pomieszczeń gospodarczych; budowę schodów zewnętrznych z sal zabawowych na plac zabaw; przebudowę instalacji c.o., wymianę instalacji odwodnienia budynku; wymianę instalacji odgromowej; 
2) Wykonanie instalacji solarnej z zasilaniem elektrycznym;
3) Wymianę opraw i źródeł oświetleniowych.</t>
  </si>
  <si>
    <t>Zatrzymać SMOG I - program ochrony powietrza w Gminie Strzelce Opolskie</t>
  </si>
  <si>
    <t>Przedmiotem projektu jest likwidacja indywidualnych źródeł ciepła w celu przyłączania do sieci ciepłowniczej lub sieci gazowej oraz wymiana indywidualnych źródeł ciepła na źródła ciepła bardziej ekologiczne w budynkach, dla których nie ma technicznej i ekonomicznej możliwości przyłączenia do sieci gazowej lub ciepłowniczej.
Zakres projektu obejmuje:
- Wymianę indywidualnych źródeł ciepła na źródła ciepła bardziej ekologiczne;
- Likwidację indywidualnych źródeł ciepła w celu przyłączania do sieci ciepłowniczej lub sieci gazowej;
Inwestycja przewiduje również instalacje OZE (kolektory słoneczne, panele fotowoltaiczne oraz pompy ciepła) w ramach zadań likwidacji/ wymiany indywidualnych źródeł ciepła (szczegółowe informacje zawiera zał. 13.2).</t>
  </si>
  <si>
    <t>Gmina Strzelce Opolskie</t>
  </si>
  <si>
    <t>Regionalny Program Operacyjny Województwa Opolskiego 2014-2020, działanie
5.5. Ochrona powietrza, środki własne Gminy, środki własne mieszkańców</t>
  </si>
  <si>
    <t>Termomodernizacja budynków Krzywoustego 2, Opolska 14, Kupiecka 4, Krakowska 51, Krakowska 55, Krakowska 57, Krakowska 59, Krakowska 63 w Strzelcach Opolskich</t>
  </si>
  <si>
    <t>Celem głównym projektu była poprawa efektywności energetycznej ośmiu wielorodzinnych budynków mieszkalnych w Strzelcach Opolskich, zlokalizowanych pod następującymi adresami w obrębie Strzelce Opolskie:
-ul. Krakowska 51,
-ul. Krakowska 55,
-ul. Krakowska 57,
-ul. Krakowska 59,
-ul. Krakowska 63,
-ul. Krzywoustego 2,
-ul. Kupiecka 4,
-ul. Opolska 14.</t>
  </si>
  <si>
    <t>SPÓŁDZIELNIA MIESZKANIOWA</t>
  </si>
  <si>
    <t>Program Operacyjny Infrastruktura i Środowisko 2014-2020, działanie 1.3. Wspieranie efektywności energetycznej w budynkach, środki własne wnioskodawcy</t>
  </si>
  <si>
    <t>Termomodernizacja budynków mieszkalnych jednorodzinnych w ramach programu CZYSTE POWIETRZE</t>
  </si>
  <si>
    <t>Termomodernizacja budynków mieszkalnych jednorodzinnych w ramach programu CZYSTE POWIETRZE wraz z wymianą źródeł ciepła na terenie Miasta. Zakłada się, że w ciągu roku zmodernizowanych zostało 5 budynków objemujących termomodernizację i wymianę źródła ciepła z kotła węglowego (ostateczny efekt Gmina oszacuje po zakończeniu programu w oparciu o oficjalne zapytanie do WFOŚiGW na temat liczby zrealizowanych inwestycji)</t>
  </si>
  <si>
    <t>Miasto Strzelce Opolskie</t>
  </si>
  <si>
    <t>środki własne mieszkańców, środki NFOŚiGW w ramach Programu Czyste Powietrze</t>
  </si>
  <si>
    <t>Inwestycje związane z OZE</t>
  </si>
  <si>
    <t>W roku 2019 na terenie ciepłowni w Strzelcach Opolskich zabudowana została instalacja fotowoltaiczna o mocy 24,8 kW. Produkcja z ww. instalacji szacowana jest na 25,2 MWh/rok.</t>
  </si>
  <si>
    <t>Energetyka Cieplna Opolszczyzny S.A.</t>
  </si>
  <si>
    <t>bd</t>
  </si>
  <si>
    <t>Inwestycje związane z modernizacją sieci i nowymi podłączeniami</t>
  </si>
  <si>
    <t>Prace remontowe oraz przeglądowe pozwalające na utrzymanie eksploatowanego majątku w dobrym stanie technicznym zapewniającym bezpieczną i bezawaryjną pracę.</t>
  </si>
  <si>
    <t>2016-2020</t>
  </si>
  <si>
    <t>Zarządzanie energią w obiektach użyteczności publicznej. Zadanie będzie realizowane na terenie całego Miasta w związku z tym, że nie stanowi działania inwestycyjnego nie jest związane z konkretną lokalizacją na terenie Miasta.</t>
  </si>
  <si>
    <t>2017 - 2020</t>
  </si>
  <si>
    <t>Zapewnienie spójności inwestycji realizowanych na terenie gminy z obowiązującymi dokumentami planistycznymi i strategicznymi gminy. Zadanie będzie realizowane na terenie całej Miasta, w związku z tym, że nie stanowi działania inwestycyjnego nie jest związane z konkretną lokalizacją na terenie Miasta.</t>
  </si>
  <si>
    <t>Plan gospodarki niskoemisyjnej dla Miasta Słupska</t>
  </si>
  <si>
    <t>Rozbudowa istniejącej strony www o nowe i bardziej dostępne dla mieszkańców informacje  dotyczące ochrony środowiska. Zadanie będzie realizowane na terenie całej Miasta, w związku z tym, że nie stanowi działania inwestycyjnego nie jest związane z konkretną lokalizacją na terenie Miasta.</t>
  </si>
  <si>
    <t>Współpraca polegająca na prowadzeniu kampanii informacyjnych i promocyjnych w zakresie efektywności energetycznej oraz zrównoważonego rozwoju. Zadanie będzie realizowane na terenie całej Miasta, w związku z tym, że nie stanowi działania inwestycyjnego nie jest związane z konkretną lokalizacją na terenie Miasta.</t>
  </si>
  <si>
    <t>Zadanie polega na bieżącej aktualizacji dokumentu PGN wraz z bazą emisji w związku ze zmianami zachodzącymi na terenie gminy. Zadanie będzie realizowane na terenie całej Miasta, w związku z tym, że nie stanowi działania inwestycyjnego nie jest związane z konkretną lokalizacją na terenie Miasta.</t>
  </si>
  <si>
    <t>Przebudowa drogi powiatowej 1805O Strzelce Opolskie- Leśnica-Kędzierzyn Koźle na odcinku Strzelce Opolskie- Dolna wraz z dokumentacją projektową</t>
  </si>
  <si>
    <t>Wydział Dróg
Powiatowych</t>
  </si>
  <si>
    <t>Przebudowa drogi powiatowej 1807O Strzelce Opolskie- Krasiejów na odcinku Strzelce Opolskie- Rozmierka- Grodzisko wraz z dokumentacją projektową</t>
  </si>
  <si>
    <t>2016-2019</t>
  </si>
  <si>
    <t xml:space="preserve">Wymiana i zakup nowoczesnych, ekologicznych autobusów o niskiej emisji CO2 wraz z rozbudową systemu informacji pasażerskiej oraz zakupem i uruchomieniem systemu e-usług. </t>
  </si>
  <si>
    <t>W ramach tego zadania dokonano zakupów nowoczesnych, ekologicznych autobusów o niskiej emisji CO2 wraz z rozbudową systemu informacji pasażerskiej oraz zakupem i uruchomieniem systemu e-usług. Efekt projektu został ustalony w oparciu o dane pochodzące z Planu Gospodarki Niskoemisyjnej przyjętego uchwała nr XXV/201/2016 z dnia 28.09.2016 roku.</t>
  </si>
  <si>
    <t>Przedsiębiorstwo
Komunikacji
Samochodowej w
Strzelcach
Opolskich</t>
  </si>
  <si>
    <t>Opolskie mobilne! - usprawnienie transportu zbiorowego regionu i aglomeracji opolskiej.</t>
  </si>
  <si>
    <t>Projekt obejmował zakup pojazdów szynowych, celem zwiększenia ilości i jakości regionalnych przewozów pasażerskich —  ilość nowych pojazdów szynowych to 5 sztuk.</t>
  </si>
  <si>
    <t>WOJEWÓDZTWO OPOLSKIE</t>
  </si>
  <si>
    <t>2015-2017</t>
  </si>
  <si>
    <t>Regionalny Program Operacyjny Województwa Opolskiego 2014-2020, działanie 6.2. Nowoczesny transport kolejowy, środki własne</t>
  </si>
  <si>
    <t>Przebudowa głównego ciągu komunikacyjnego na terenie Strefy Ekonomicznej w Strzelcach Opolskich</t>
  </si>
  <si>
    <t>Projekt jest przedsięwzięciem partnerskim, realizowanym przez Wnioskodawcę – Gminę Strzelce Opolskie oraz Partnera – Powiat Strzelecki. W ramach projektu została przebudowana usytuowana na działkach ewidencyjnych o numerach: 5061/6 i 5062/35 droga gminna przebiegająca przez Strefę Ekonomiczną w Strzelcach Opolskich. W wyniku projektu przebudowano 0,68 km drogi gminnej obejmujące budowę infrastruktury podnoszącej bezpieczeństwo uczestników ruchu drogowego na zmodernizowanym odcinku oraz dostosowanie do potrzeb osób niepełnosprawnych. Projekt obejmował rozwiązania pozytywnie wpływające na środowisko naturalne: budowę separatorów wód oraz kanalizacji deszczowej, wykorzystanie materiałów z recyclingu (ponad 30%), montaż oświetlenia LED.</t>
  </si>
  <si>
    <t>2014-2020</t>
  </si>
  <si>
    <t>Regionalny Program Operacyjny Województwa Opolskiego 2014-2020, działanie 6.1. Infrastruktura drogowa, Środki własne</t>
  </si>
  <si>
    <t>Budżet Gminy- 123.108,03 zł
RPO- 266.449,79 zł
WFOŚiGW- 47.020,55 zł</t>
  </si>
  <si>
    <t xml:space="preserve">Budżet Gminy- 149.027,70 zł
RPO- 441.804,53 zł
WFOŚiGW- 77.965,51 zł
</t>
  </si>
  <si>
    <t xml:space="preserve">Budżet Gminy- 166.350,31 zł 
RPO- 408.641,24 zł 
WFOŚiGW- 72.113,16 zł
</t>
  </si>
  <si>
    <t>Zespół Placówek Oświatowych w Błotnicy Strzeleckiej – budynek szkoły/ Poprawa efektywności energetycznej budynku</t>
  </si>
  <si>
    <t>Zespół Placówek Oświatowych w Kalinowicach/Poprawa efektywności energetycznej budynku</t>
  </si>
  <si>
    <t>Publiczna Szkoła Podstawowa nr 4 w Strzelcach Opolskich – sala gimnastyczna/ Poprawa efektywności energetycznej budynku</t>
  </si>
  <si>
    <t>Zespół Placówek Oświatowych w Rozmierce – budynek szkoły/ Poprawa efektywności energetycznej budynku</t>
  </si>
  <si>
    <t>Publiczna Szkoła Podstawowa w Szymiszowie- budynek z salą gimnastyczną/ Poprawa efektywności energetycznej budynku</t>
  </si>
  <si>
    <t>Publiczna Szkoła Podstawowa w Szymiszowie- budynek szkoły/ Poprawa efektywności energetycznej budynku</t>
  </si>
  <si>
    <t>Zespół Placówek Oświatowych w Dziewkowicach – budynek szkoły/ Poprawa efektywności energetycznej budynku</t>
  </si>
  <si>
    <t>Zespół Placówek Oświatowych w Dziewkowicach – budynek oświatowy/ Poprawa efektywności energetycznej budynku</t>
  </si>
  <si>
    <t>Zespół Placówek Oświatowych w Suchej – budynek szkoły oraz Sali gimnastycznej / Poprawa efektywności energetycznej budynku</t>
  </si>
  <si>
    <t>Poprawa efektywności energetycznej budynku poprzez:
- Wymianę kotła opalanego olejem opałowym na kocioł opalany pelletem</t>
  </si>
  <si>
    <t>2021-2024</t>
  </si>
  <si>
    <t>Budżet gminy + dofinansowanie</t>
  </si>
  <si>
    <t>Poprawa efektywności energetycznej budynku poprzez:
1. Wymianę kotła opalanego węglem na kocioł opalany pelletem
2. Docieplenie ścian zewn. i dachu
3. Wymianie stolarki okiennej i drzwiowej
4. Wymianie oświetlenia na energooszczędne.
5. Remoncie instalacji c.o.
6. Wykonaniu rozbudowy wentylacji mechanicznej z wykonaniem rekuperacji w budynku Sali gimnastycznej</t>
  </si>
  <si>
    <t xml:space="preserve">Poprawa efektywności energetycznej budynku poprzez:
Poprawa efektywności energetycznej budynku poprzez:
1. Wymianę kotła opalanego węglem na kocioł opalany pelletem
2. Docieplenie ścian zewn. i dachu
3. Wymianie stolarki okiennej i drzwiowej
4. Wymianie oświetlenia na energooszczędne.
5. Remoncie instalacji c.o.
6. Wykonaniu instalacji fotowoltaicznej
</t>
  </si>
  <si>
    <t>Poprawa efektywności energetycznej budynku poprzez:
1. Wymianę kotła opalanego węglem na kocioł opalany pelletem
2. Docieplenie ścian zewn. i dachu
3. Wymianie stolarki okiennej i drzwiowej
4. Wymianie oświetlenia na energooszczędne.
5. Wymianie instalacji c.o.</t>
  </si>
  <si>
    <t>Poprawa efektywności energetycznej budynku poprzez:
1. Wymianę kotła opalanego olejem opałowym na kocioł opalany pelletem
2. Docieplenie dachu stropodachu łącznika
3. Wykonaniu instalacji fotowoltaicznej
4. Wymianie oświetlenia na energooszczędne</t>
  </si>
  <si>
    <t xml:space="preserve">Poprawa efektywności energetycznej budynku poprzez:
1. Wymianę kotła opalanego węglem na kocioł opalany pelletem
2. Docieplenie ścian zewn. i dachu
3. Wymianie stolarki okiennej i drzwiowej
4. Wykonaniu instalacji fotowoltaicznej
5. Wymianie oświetlenia na energooszczędne.
6. Wykonaniu wentylacji mechanicznej sali gimnastycznej z rekuperacją </t>
  </si>
  <si>
    <t>Poprawa efektywności energetycznej budynku poprzez:
1. Wymianę kotła opalanego olejem opałowym na kocioł opalany pelletem
2. Docieplenie dachu i poddasza
3. Wykonaniu instalacji fotowoltaicznej
4. Wymianie oświetlenia na energooszczędne</t>
  </si>
  <si>
    <t>Poprawa efektywności energetycznej budynku poprzez:
1. Wymianę kotła opalanego węglem na kocioł opalany pelletem
2. Docieplenie ścian zewn. i dachu
3. Wymianie stolarki okiennej i drzwiowej
4. Wykonaniu instalacji fotowoltaicznej
5. Wymianie oświetlenia na energooszczędne</t>
  </si>
  <si>
    <t>Poprawa efektywności energetycznej budynku poprzez:
1. Wymianę kotła opalanego ekogroszkiem na kocioł opalany pelletem
2. Docieplenie ścian zewn., stropodachu, dachu i poddasza
3. Wymianie stolarki okiennej i drzwiowej
4. Wymianie oświetlenia na energooszczędne</t>
  </si>
  <si>
    <t>Fotowoltaika w budynkach publicznych Powiatu Strzeleckiego (między innymi szkoły, Starostwo, PCK) wraz ze stworzeniem inteligentnego systemu zarządzania dystrybucją - efektywnego zarządzania energią w strukturze wydatków publicznych na wysoko sprawnej kogeneracji.</t>
  </si>
  <si>
    <t>Inwestycja planowana w perspektywie 2020 - 2027. Efekt oszacowano zakładając montaż mikroinstalacji przyjmując na podstawie szacowanych kosztów, że 1 kW mocy kosztuje około 12000 zł, a uzysk z 1 kW mocy wynosi 950 kWh/rok / 1 kW. W ramach projektu nie zakłada się instalacji o powierzchni przekraczającej 0,5 ha powierzchni.</t>
  </si>
  <si>
    <t>2020-2027</t>
  </si>
  <si>
    <t>Wymiana instalacji centralnego ogrzewania w budynku Liceum Ogólnokształcącego z Oddziałami Dwujęzycznymi im. W. Broniewskiego w Strzelcach Opolskich</t>
  </si>
  <si>
    <t>Inwestycja planowana w perspektywie 2020 - 2027. W odniesieniu do termomodernizacji założono obniżenie kosztów o 25%, obliczono je w oparciu o powierdzchnię użytkową obiektu.</t>
  </si>
  <si>
    <t>910 244,00 zł</t>
  </si>
  <si>
    <t>Termomodernizacja budynku Starostwa Powiatowego w Strzelcach Opolskich wraz z wykorzystaniem odnawialnych źródeł energii</t>
  </si>
  <si>
    <t>Inwestycja planowana w perspektywie 2020 - 2027. Efekt oszacowano zakładając montaż mikroinstalacji przyjmując moc instalacji w wsyokości 20 kW wynosi 950 kWh/rok / 1 kW. W ramach projektu nie zakłada się instalacji o powierzchni przekraczającej 0,5 ha powierzchni. W odniesieniu do termomodernizacji założono obniżenie kosztów o 25%, obliczono je w oparciu o powierdzchnię użytkową obiektu.</t>
  </si>
  <si>
    <t>2 000 000,00 zł</t>
  </si>
  <si>
    <t>Przebudowa systemu grzewczego wraz z wymianą instalacji elektrycznej, wymianą pokrycia dachowego i dociepleniem podłóg CKZiU w Strzelcach Opolskich</t>
  </si>
  <si>
    <t>2 401 844,00 zł</t>
  </si>
  <si>
    <t>Zatrzymać SMOG II - program ochrony powietrza w Gminie Strzelce Opolskie</t>
  </si>
  <si>
    <t>Projekt zakłada udzielenie dofinansowania do 67% na wymianę starego, nieekologicznego źródła ciepła na paliwo stałe na nowe ekologiczne. Projekt skierowany jest do właścicieli budynków mieszkalnych/ lokali zlokalizowanych na terenie Gminy Strzelce Opolskie, w których nie ma zarejestrowanej działalności gospodarczej ani agroturystyki. Obejmuje zadania polegające na:
1) Likwidacji kotła na paliwo stałe w celu przyłączenia do sieci gazowej - mieszkańcy miejscowości Strzelce Opolskie (za wyjątkiem sołectwa Farska Kolonia) i Kadłub, lub
2) Likwidacja kotła na paliwo stałe w celu montażu: kotła na biomasę, gazowego LPG, ekogroszek , elektrycznego, olejowego, pompy ciepła.</t>
  </si>
  <si>
    <t>Termomodernizacja budynków mieszkalnych jednorodzinnych w ramach programu CZYSTE POWIETRZE wraz z wymianą źródeł ciepła na terenie Miasta. Zakłada się, że w ciągu roku zmodernizowanych zostaneie 10 budynków objemujących termomodernizację i wymianę źródła ciepła z kotła węglowego (ostateczny efekt Gmina oszacuje po zakończeniu programu w oparciu o oficjalne zapytanie do WFOŚiGW na temat liczby zrealizowanych inwestycji)</t>
  </si>
  <si>
    <t>Zrównoważony proekologiczny (zielony) transport publiczny w części obszaru funkcjonalnego, jako efekt zakupu i modernizacji taboru, w tym elektrycznego, w ramach działalności Związku „Jedź z Nami” wraz z modernizacją dworca przesiadkowego dla udogodnień podróży umożliwiającej mobilność pracowników</t>
  </si>
  <si>
    <t>Stworzenie sieci ścieżek rowerowych poprawiających bezpieczeństwo mieszkańców Subregionu Kędzierzyńsko-Strzeleckiego wraz z możliwością promocji obiektów dziedzictwa kultury regionalnej Śląska Opolskiego, w tym kuchni regionu opolskiego "szlakiem kluski, rolady i modrej kapusty"</t>
  </si>
  <si>
    <t>Przebudowa dróg na terenie Gminy</t>
  </si>
  <si>
    <t>środki własne, dotacje UE</t>
  </si>
  <si>
    <t>Szacowany efekt w wysokości 0,25% emisji i zużycia energii w 2013 roku</t>
  </si>
  <si>
    <t>Realizacja programu PONE</t>
  </si>
  <si>
    <t>budżet Gminy</t>
  </si>
  <si>
    <t>Realizacja programu PONE w latach 2015 - 2020</t>
  </si>
  <si>
    <t xml:space="preserve">Termomodernizacja budynku wielorodzinnego </t>
  </si>
  <si>
    <t>Termomodernizacja budynku wielorodzinnego przy ul Krakowskiej 4 w ramach przedsięwzięcia remontowego zgodnie z art. 2 pkt. 3 ustawy o wspieraniu termomodernizacji i remontów</t>
  </si>
  <si>
    <t>Gminny Zarząd Mienia Komunalnego</t>
  </si>
  <si>
    <t>Środki własne +dofinansowanie z Banku Gospodarstwa Krajowego</t>
  </si>
  <si>
    <t>Termomodernizacja budynku przy ul Opolskiej 15A</t>
  </si>
  <si>
    <t>Zakres inwestycji obejmuje wymianę ścian na płyty warstwowe wraz z wymianą bramy wjazdowej</t>
  </si>
  <si>
    <t>AUTO KOMPLEX Robert Kubzda</t>
  </si>
  <si>
    <t>Dostawa i montaż instalacji fotowoltaicznej</t>
  </si>
  <si>
    <t>Montaż instalacji fotowoltaicznej o mocy 39,96 kWp na budynku przy ul. Opolskiej 15A</t>
  </si>
  <si>
    <t>Zintegrowana Pasywna Strefa Przemysłowo-Rekreacyjna „Zielone Strzelce”</t>
  </si>
  <si>
    <t>Plan obejmuje budowę Strefy Przemysłowej (ok. 30 ha) w Strzelcach Opolskich ul. Marka Prawego 50 (teren byłej kopalni kruszywa Lhoist SA) składającej się z zespołu hal magazynowych i produkcyjnych, biurowca, placów parkingowych i manewrowych. Hale przeznaczone będą na potrzeby firm z Grupy Adamietz (5 hal) oraz na wynajem (6 hal) W założeniach Zintegrowana Pasywna Strefa PrzemysłowoRekreacyjna „Zielone Strzelce” wpisuje się w idee budownictwa zrównoważonego oraz łączenia obszaru pracy i wypoczynku jako terenów przyjaznych środowisku tj.: budynki hal i biurowca będą miały certyfikat budynku pasywnego,
- zasilane z paneli fotowoltaicznych i pomp ciepła,
- płyta grzewczo-chłodząca działającą na zasadzie ogrzewania niskotemperaturowego, umieszczona wewnątrz płyty fundamentowej z funkcją grzania lub chłodzenia,
- oświetlenie zewnętrzne i wewnętrzne lampami LED lub solarnymi,
- transport wewnętrzny w większości zasilany ZOE,
- stacje dla ładowania aut i pojazdów ekologicznych,
- z dachów wszystkich budynków i powierzchni utwardzonych zbierana będzie woda opadowa celem wykorzystania do utrzymania zieleni lub wykorzystania do celów sanitarnych i p.poż.,
- między budynkami strefy zielone strefy do rekreacji i wypoczynku pracowników. Dodatkowo na pozostałej powierzchni b. kopalni kruszywa (ok. 60 ha) planujemy stworzyć strefę rekreacji, wypoczynku i usług poprzez budowę parku, pola golfowego, kortów tenisowych, terenu dla crosscarów oraz małej gastronomi do obsługi tych terenów.</t>
  </si>
  <si>
    <t>Adamietz sp. z o.o.</t>
  </si>
  <si>
    <t>2021-2027</t>
  </si>
  <si>
    <t>Środki własne, kredyty bankowe, środki zewnętrzne</t>
  </si>
  <si>
    <t>Wartość w roku bazowym 2013 (BEI 2013)</t>
  </si>
  <si>
    <t>Wartość w roku bazowym 2020 (BEI 2013)</t>
  </si>
  <si>
    <r>
      <t>Gminny Program dotacji „Oddychaj bez smogu” </t>
    </r>
    <r>
      <rPr>
        <sz val="8"/>
        <color theme="1"/>
        <rFont val="Arial"/>
        <family val="2"/>
        <charset val="238"/>
      </rPr>
      <t> </t>
    </r>
  </si>
  <si>
    <t>Od czerwca 2018 r. w Gminie funkcjonuje program dotacji do wymiany starych pieców węglowych pn. Oddychaj bez smogu. Zgodnie z Regulaminem mieszkańcy Gminy będący właścicielami domu/mieszkania mogą otrzymać dotację na wymianę pieca w wysokości 33% kosztów zakupu nowego źródła ogrzewania, lecz nie więcej niż 2 500 zł. 
Do 2027 roku przewidziano dotacje do 240 kotłów</t>
  </si>
  <si>
    <t>środki własne mieszkańców, środki własne Gminy</t>
  </si>
  <si>
    <t>Udział energii z OZE do 2020 r.</t>
  </si>
  <si>
    <t>Udział energii z OZE do 2027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</si>
</sst>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zł&quot;;[Red]\-#,##0.00\ &quot;zł&quot;"/>
    <numFmt numFmtId="44" formatCode="_-* #,##0.00\ &quot;zł&quot;_-;\-* #,##0.00\ &quot;zł&quot;_-;_-* &quot;-&quot;??\ &quot;zł&quot;_-;_-@_-"/>
    <numFmt numFmtId="164" formatCode="#,##0.00\ &quot;zł&quot;"/>
    <numFmt numFmtId="165" formatCode="0.0"/>
    <numFmt numFmtId="166" formatCode="#,##0.0"/>
  </numFmts>
  <fonts count="23" x14ac:knownFonts="1">
    <font>
      <sz val="11"/>
      <color theme="1"/>
      <name val="Calibri"/>
      <family val="2"/>
      <charset val="238"/>
      <scheme val="minor"/>
    </font>
    <font>
      <sz val="10"/>
      <color theme="1"/>
      <name val="Arial"/>
      <family val="2"/>
      <charset val="238"/>
    </font>
    <font>
      <sz val="11"/>
      <color theme="1"/>
      <name val="Calibri"/>
      <family val="2"/>
      <charset val="238"/>
      <scheme val="minor"/>
    </font>
    <font>
      <b/>
      <sz val="8"/>
      <color rgb="FFFFFFFF"/>
      <name val="Arial"/>
      <family val="2"/>
      <charset val="238"/>
    </font>
    <font>
      <b/>
      <sz val="8"/>
      <color rgb="FF0D0D0D"/>
      <name val="Arial"/>
      <family val="2"/>
      <charset val="238"/>
    </font>
    <font>
      <sz val="8"/>
      <color rgb="FF0D0D0D"/>
      <name val="Arial"/>
      <family val="2"/>
      <charset val="238"/>
    </font>
    <font>
      <b/>
      <sz val="10"/>
      <color rgb="FFFFFFFF"/>
      <name val="Arial"/>
      <family val="2"/>
      <charset val="238"/>
    </font>
    <font>
      <b/>
      <sz val="10"/>
      <color rgb="FF000000"/>
      <name val="Arial"/>
      <family val="2"/>
      <charset val="238"/>
    </font>
    <font>
      <sz val="10"/>
      <color rgb="FF000000"/>
      <name val="Arial"/>
      <family val="2"/>
      <charset val="238"/>
    </font>
    <font>
      <b/>
      <sz val="10"/>
      <color theme="0"/>
      <name val="Arial"/>
      <family val="2"/>
      <charset val="238"/>
    </font>
    <font>
      <b/>
      <sz val="10"/>
      <color theme="1"/>
      <name val="Arial"/>
      <family val="2"/>
      <charset val="238"/>
    </font>
    <font>
      <b/>
      <vertAlign val="subscript"/>
      <sz val="10"/>
      <color theme="1"/>
      <name val="Arial"/>
      <family val="2"/>
      <charset val="238"/>
    </font>
    <font>
      <vertAlign val="superscript"/>
      <sz val="10"/>
      <color theme="1"/>
      <name val="Arial"/>
      <family val="2"/>
      <charset val="238"/>
    </font>
    <font>
      <b/>
      <vertAlign val="subscript"/>
      <sz val="10"/>
      <color theme="0"/>
      <name val="Arial"/>
      <family val="2"/>
      <charset val="238"/>
    </font>
    <font>
      <sz val="8"/>
      <color theme="0"/>
      <name val="Arial"/>
      <family val="2"/>
      <charset val="238"/>
    </font>
    <font>
      <b/>
      <sz val="9"/>
      <color rgb="FFFFFFFF"/>
      <name val="Arial"/>
      <family val="2"/>
      <charset val="238"/>
    </font>
    <font>
      <b/>
      <sz val="9"/>
      <color theme="1"/>
      <name val="Arial"/>
      <family val="2"/>
      <charset val="238"/>
    </font>
    <font>
      <sz val="9"/>
      <color rgb="FF000000"/>
      <name val="Arial"/>
      <family val="2"/>
      <charset val="238"/>
    </font>
    <font>
      <sz val="8"/>
      <color rgb="FF000000"/>
      <name val="Arial"/>
      <family val="2"/>
      <charset val="238"/>
    </font>
    <font>
      <b/>
      <sz val="8"/>
      <color theme="1"/>
      <name val="Arial"/>
      <family val="2"/>
      <charset val="238"/>
    </font>
    <font>
      <vertAlign val="subscript"/>
      <sz val="10"/>
      <color theme="1"/>
      <name val="Arial"/>
      <family val="2"/>
      <charset val="238"/>
    </font>
    <font>
      <sz val="8"/>
      <name val="Arial"/>
      <family val="2"/>
      <charset val="238"/>
    </font>
    <font>
      <sz val="8"/>
      <color theme="1"/>
      <name val="Arial"/>
      <family val="2"/>
      <charset val="238"/>
    </font>
  </fonts>
  <fills count="11">
    <fill>
      <patternFill patternType="none"/>
    </fill>
    <fill>
      <patternFill patternType="gray125"/>
    </fill>
    <fill>
      <patternFill patternType="solid">
        <fgColor rgb="FF808080"/>
        <bgColor indexed="64"/>
      </patternFill>
    </fill>
    <fill>
      <patternFill patternType="solid">
        <fgColor rgb="FFBFBFBF"/>
        <bgColor indexed="64"/>
      </patternFill>
    </fill>
    <fill>
      <patternFill patternType="solid">
        <fgColor theme="1" tint="0.49998474074526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F2F2F2"/>
        <bgColor indexed="64"/>
      </patternFill>
    </fill>
    <fill>
      <patternFill patternType="solid">
        <fgColor theme="0" tint="-0.499984740745262"/>
        <bgColor indexed="64"/>
      </patternFill>
    </fill>
    <fill>
      <patternFill patternType="solid">
        <fgColor theme="0" tint="-0.249977111117893"/>
        <bgColor indexed="64"/>
      </patternFill>
    </fill>
  </fills>
  <borders count="51">
    <border>
      <left/>
      <right/>
      <top/>
      <bottom/>
      <diagonal/>
    </border>
    <border>
      <left/>
      <right style="medium">
        <color rgb="FF808080"/>
      </right>
      <top/>
      <bottom style="medium">
        <color rgb="FF808080"/>
      </bottom>
      <diagonal/>
    </border>
    <border>
      <left style="thin">
        <color rgb="FF808080"/>
      </left>
      <right style="thin">
        <color rgb="FF808080"/>
      </right>
      <top style="thin">
        <color rgb="FF808080"/>
      </top>
      <bottom style="thin">
        <color rgb="FF808080"/>
      </bottom>
      <diagonal/>
    </border>
    <border>
      <left style="medium">
        <color rgb="FF999999"/>
      </left>
      <right style="medium">
        <color rgb="FF999999"/>
      </right>
      <top style="medium">
        <color rgb="FF999999"/>
      </top>
      <bottom/>
      <diagonal/>
    </border>
    <border>
      <left style="medium">
        <color rgb="FF999999"/>
      </left>
      <right style="medium">
        <color rgb="FF999999"/>
      </right>
      <top/>
      <bottom style="thick">
        <color rgb="FF666666"/>
      </bottom>
      <diagonal/>
    </border>
    <border>
      <left/>
      <right style="medium">
        <color rgb="FF999999"/>
      </right>
      <top style="medium">
        <color rgb="FF999999"/>
      </top>
      <bottom/>
      <diagonal/>
    </border>
    <border>
      <left/>
      <right style="medium">
        <color rgb="FF999999"/>
      </right>
      <top/>
      <bottom style="thick">
        <color rgb="FF666666"/>
      </bottom>
      <diagonal/>
    </border>
    <border>
      <left style="medium">
        <color rgb="FF999999"/>
      </left>
      <right style="medium">
        <color rgb="FF999999"/>
      </right>
      <top/>
      <bottom style="medium">
        <color rgb="FF999999"/>
      </bottom>
      <diagonal/>
    </border>
    <border>
      <left/>
      <right style="medium">
        <color rgb="FF999999"/>
      </right>
      <top/>
      <bottom style="medium">
        <color rgb="FF999999"/>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rgb="FF808080"/>
      </left>
      <right style="thin">
        <color rgb="FF808080"/>
      </right>
      <top style="thin">
        <color rgb="FF808080"/>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bottom/>
      <diagonal/>
    </border>
    <border>
      <left style="medium">
        <color rgb="FF999999"/>
      </left>
      <right style="medium">
        <color rgb="FF999999"/>
      </right>
      <top style="medium">
        <color rgb="FF999999"/>
      </top>
      <bottom style="thick">
        <color rgb="FF666666"/>
      </bottom>
      <diagonal/>
    </border>
    <border>
      <left/>
      <right style="medium">
        <color rgb="FF999999"/>
      </right>
      <top style="medium">
        <color rgb="FF999999"/>
      </top>
      <bottom style="thick">
        <color rgb="FF666666"/>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999999"/>
      </left>
      <right style="medium">
        <color rgb="FF999999"/>
      </right>
      <top style="thick">
        <color rgb="FF666666"/>
      </top>
      <bottom/>
      <diagonal/>
    </border>
    <border>
      <left style="medium">
        <color rgb="FF999999"/>
      </left>
      <right style="medium">
        <color rgb="FF999999"/>
      </right>
      <top style="medium">
        <color rgb="FF999999"/>
      </top>
      <bottom style="medium">
        <color rgb="FF999999"/>
      </bottom>
      <diagonal/>
    </border>
    <border>
      <left style="medium">
        <color rgb="FF999999"/>
      </left>
      <right style="medium">
        <color rgb="FF999999"/>
      </right>
      <top/>
      <bottom/>
      <diagonal/>
    </border>
    <border>
      <left style="medium">
        <color rgb="FF808080"/>
      </left>
      <right style="medium">
        <color rgb="FF808080"/>
      </right>
      <top style="medium">
        <color rgb="FF808080"/>
      </top>
      <bottom/>
      <diagonal/>
    </border>
    <border>
      <left style="medium">
        <color rgb="FF808080"/>
      </left>
      <right style="medium">
        <color rgb="FF808080"/>
      </right>
      <top/>
      <bottom style="medium">
        <color rgb="FF808080"/>
      </bottom>
      <diagonal/>
    </border>
    <border>
      <left/>
      <right style="medium">
        <color rgb="FF808080"/>
      </right>
      <top style="medium">
        <color rgb="FF808080"/>
      </top>
      <bottom style="medium">
        <color rgb="FF808080"/>
      </bottom>
      <diagonal/>
    </border>
    <border>
      <left/>
      <right/>
      <top style="medium">
        <color rgb="FF808080"/>
      </top>
      <bottom style="medium">
        <color rgb="FF808080"/>
      </bottom>
      <diagonal/>
    </border>
    <border>
      <left style="medium">
        <color rgb="FF808080"/>
      </left>
      <right/>
      <top style="medium">
        <color rgb="FF808080"/>
      </top>
      <bottom style="medium">
        <color rgb="FF80808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B7B7B7"/>
      </left>
      <right style="medium">
        <color rgb="FFB7B7B7"/>
      </right>
      <top style="medium">
        <color rgb="FFB7B7B7"/>
      </top>
      <bottom style="thick">
        <color rgb="FF949494"/>
      </bottom>
      <diagonal/>
    </border>
    <border>
      <left/>
      <right style="medium">
        <color rgb="FFB7B7B7"/>
      </right>
      <top style="medium">
        <color rgb="FFB7B7B7"/>
      </top>
      <bottom style="thick">
        <color rgb="FF949494"/>
      </bottom>
      <diagonal/>
    </border>
    <border>
      <left style="medium">
        <color rgb="FFB7B7B7"/>
      </left>
      <right style="medium">
        <color rgb="FFB7B7B7"/>
      </right>
      <top/>
      <bottom style="medium">
        <color rgb="FFB7B7B7"/>
      </bottom>
      <diagonal/>
    </border>
    <border>
      <left style="medium">
        <color rgb="FFB7B7B7"/>
      </left>
      <right style="medium">
        <color rgb="FFB7B7B7"/>
      </right>
      <top/>
      <bottom/>
      <diagonal/>
    </border>
    <border>
      <left/>
      <right style="medium">
        <color rgb="FFB7B7B7"/>
      </right>
      <top/>
      <bottom style="medium">
        <color rgb="FFB7B7B7"/>
      </bottom>
      <diagonal/>
    </border>
    <border>
      <left style="medium">
        <color rgb="FFB7B7B7"/>
      </left>
      <right style="medium">
        <color rgb="FFB7B7B7"/>
      </right>
      <top style="thick">
        <color rgb="FF949494"/>
      </top>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right style="medium">
        <color rgb="FFB7B7B7"/>
      </right>
      <top style="medium">
        <color rgb="FFB7B7B7"/>
      </top>
      <bottom/>
      <diagonal/>
    </border>
    <border>
      <left style="medium">
        <color indexed="64"/>
      </left>
      <right style="medium">
        <color rgb="FF808080"/>
      </right>
      <top/>
      <bottom style="medium">
        <color rgb="FF808080"/>
      </bottom>
      <diagonal/>
    </border>
  </borders>
  <cellStyleXfs count="3">
    <xf numFmtId="0" fontId="0" fillId="0" borderId="0"/>
    <xf numFmtId="9" fontId="2" fillId="0" borderId="0" applyFont="0" applyFill="0" applyBorder="0" applyAlignment="0" applyProtection="0"/>
    <xf numFmtId="44" fontId="2" fillId="0" borderId="0" applyFont="0" applyFill="0" applyBorder="0" applyAlignment="0" applyProtection="0"/>
  </cellStyleXfs>
  <cellXfs count="215">
    <xf numFmtId="0" fontId="0" fillId="0" borderId="0" xfId="0"/>
    <xf numFmtId="0" fontId="0" fillId="0" borderId="0" xfId="0" applyAlignment="1"/>
    <xf numFmtId="0" fontId="0" fillId="0" borderId="0" xfId="0" applyAlignment="1">
      <alignment wrapText="1"/>
    </xf>
    <xf numFmtId="0" fontId="6" fillId="2" borderId="2" xfId="0" applyFont="1" applyFill="1" applyBorder="1" applyAlignment="1">
      <alignment vertical="center"/>
    </xf>
    <xf numFmtId="0" fontId="6" fillId="2" borderId="2" xfId="0" applyFont="1" applyFill="1" applyBorder="1" applyAlignment="1">
      <alignment vertical="center" wrapText="1"/>
    </xf>
    <xf numFmtId="0" fontId="6" fillId="3" borderId="2"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6" fillId="2" borderId="2" xfId="0" applyFont="1" applyFill="1" applyBorder="1" applyAlignment="1">
      <alignment horizontal="center" vertical="center" wrapText="1"/>
    </xf>
    <xf numFmtId="10" fontId="0" fillId="0" borderId="0" xfId="1" applyNumberFormat="1" applyFont="1"/>
    <xf numFmtId="4" fontId="8" fillId="0" borderId="2"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8" fillId="0" borderId="8" xfId="0" applyFont="1" applyBorder="1" applyAlignment="1">
      <alignment horizontal="center" vertical="center" wrapText="1"/>
    </xf>
    <xf numFmtId="10" fontId="8" fillId="0" borderId="8" xfId="0" applyNumberFormat="1" applyFont="1" applyBorder="1" applyAlignment="1">
      <alignment horizontal="center" vertical="center" wrapText="1"/>
    </xf>
    <xf numFmtId="0" fontId="6" fillId="3" borderId="2" xfId="0" applyFont="1" applyFill="1" applyBorder="1" applyAlignment="1">
      <alignment vertical="center" wrapText="1"/>
    </xf>
    <xf numFmtId="0" fontId="9" fillId="4" borderId="9" xfId="0" applyFont="1" applyFill="1" applyBorder="1" applyAlignment="1">
      <alignment horizontal="center"/>
    </xf>
    <xf numFmtId="0" fontId="9" fillId="4" borderId="9" xfId="0" applyFont="1" applyFill="1" applyBorder="1" applyAlignment="1">
      <alignment horizontal="center" vertical="center" wrapText="1"/>
    </xf>
    <xf numFmtId="0" fontId="10" fillId="0" borderId="9" xfId="0" applyFont="1" applyBorder="1"/>
    <xf numFmtId="0" fontId="9" fillId="4" borderId="9" xfId="0" applyFont="1" applyFill="1" applyBorder="1" applyAlignment="1">
      <alignment horizontal="center" vertical="center"/>
    </xf>
    <xf numFmtId="1" fontId="9" fillId="4" borderId="9" xfId="0" applyNumberFormat="1" applyFont="1" applyFill="1" applyBorder="1" applyAlignment="1">
      <alignment horizontal="center" vertical="center" wrapText="1"/>
    </xf>
    <xf numFmtId="1" fontId="1" fillId="0" borderId="9" xfId="0" applyNumberFormat="1" applyFont="1" applyBorder="1" applyAlignment="1">
      <alignment horizontal="center" vertical="center" wrapText="1"/>
    </xf>
    <xf numFmtId="0" fontId="6" fillId="4" borderId="9" xfId="0" applyFont="1" applyFill="1" applyBorder="1" applyAlignment="1">
      <alignment horizontal="center" vertical="center" wrapText="1"/>
    </xf>
    <xf numFmtId="1" fontId="8" fillId="0" borderId="9" xfId="0" applyNumberFormat="1" applyFont="1" applyBorder="1" applyAlignment="1">
      <alignment horizontal="center" vertical="center" wrapText="1"/>
    </xf>
    <xf numFmtId="10" fontId="8" fillId="0" borderId="9" xfId="1" applyNumberFormat="1" applyFont="1" applyBorder="1" applyAlignment="1">
      <alignment horizontal="center" vertical="center" wrapText="1"/>
    </xf>
    <xf numFmtId="1" fontId="8" fillId="0" borderId="2" xfId="0" applyNumberFormat="1" applyFont="1" applyBorder="1" applyAlignment="1">
      <alignment horizontal="center" vertical="center" wrapText="1"/>
    </xf>
    <xf numFmtId="1" fontId="7" fillId="0" borderId="2" xfId="0" applyNumberFormat="1" applyFont="1" applyBorder="1" applyAlignment="1">
      <alignment horizontal="center" vertical="center" wrapText="1"/>
    </xf>
    <xf numFmtId="1" fontId="6"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textRotation="90"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3" borderId="2" xfId="0" applyFont="1" applyFill="1" applyBorder="1" applyAlignment="1">
      <alignment horizontal="center" vertical="center" textRotation="90" wrapText="1"/>
    </xf>
    <xf numFmtId="0" fontId="3" fillId="3" borderId="2" xfId="0" applyFont="1" applyFill="1" applyBorder="1" applyAlignment="1">
      <alignment horizontal="center" vertical="center" wrapText="1"/>
    </xf>
    <xf numFmtId="0" fontId="3" fillId="3" borderId="2" xfId="0" applyFont="1" applyFill="1" applyBorder="1" applyAlignment="1">
      <alignment horizontal="left" vertical="center" wrapText="1"/>
    </xf>
    <xf numFmtId="164" fontId="3" fillId="3" borderId="2" xfId="2" applyNumberFormat="1" applyFont="1" applyFill="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8" fontId="5" fillId="0" borderId="2" xfId="0" applyNumberFormat="1" applyFont="1" applyBorder="1" applyAlignment="1">
      <alignment horizontal="center" vertical="center" wrapText="1"/>
    </xf>
    <xf numFmtId="0" fontId="5" fillId="0" borderId="2" xfId="0" applyFont="1" applyBorder="1" applyAlignment="1">
      <alignment horizontal="left" vertical="center" wrapText="1"/>
    </xf>
    <xf numFmtId="8" fontId="3" fillId="3" borderId="2" xfId="0" applyNumberFormat="1" applyFont="1" applyFill="1" applyBorder="1" applyAlignment="1">
      <alignment horizontal="center" vertical="center" wrapText="1"/>
    </xf>
    <xf numFmtId="2" fontId="3"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9" fontId="0" fillId="0" borderId="0" xfId="1" applyFont="1"/>
    <xf numFmtId="4" fontId="8" fillId="0" borderId="2" xfId="0" applyNumberFormat="1" applyFont="1" applyBorder="1" applyAlignment="1">
      <alignment horizontal="left" vertical="center" wrapText="1"/>
    </xf>
    <xf numFmtId="4" fontId="6" fillId="2" borderId="2" xfId="0" applyNumberFormat="1" applyFont="1" applyFill="1" applyBorder="1" applyAlignment="1">
      <alignment horizontal="center" vertical="center" wrapText="1"/>
    </xf>
    <xf numFmtId="4" fontId="7" fillId="0" borderId="2" xfId="0" applyNumberFormat="1" applyFont="1" applyBorder="1" applyAlignment="1">
      <alignment horizontal="center" vertical="center" wrapText="1"/>
    </xf>
    <xf numFmtId="4" fontId="6" fillId="2" borderId="2" xfId="0" applyNumberFormat="1" applyFont="1" applyFill="1" applyBorder="1" applyAlignment="1">
      <alignment vertical="center" wrapText="1"/>
    </xf>
    <xf numFmtId="4" fontId="6" fillId="3" borderId="2" xfId="0" applyNumberFormat="1" applyFont="1" applyFill="1" applyBorder="1" applyAlignment="1">
      <alignment horizontal="center" vertical="center" wrapText="1"/>
    </xf>
    <xf numFmtId="164" fontId="5" fillId="0" borderId="2" xfId="2" applyNumberFormat="1" applyFont="1" applyBorder="1" applyAlignment="1">
      <alignment horizontal="center" vertical="center" wrapText="1"/>
    </xf>
    <xf numFmtId="164" fontId="5" fillId="0" borderId="2" xfId="0" applyNumberFormat="1" applyFont="1" applyBorder="1" applyAlignment="1">
      <alignment horizontal="center" vertical="center" wrapText="1"/>
    </xf>
    <xf numFmtId="164" fontId="3" fillId="3" borderId="2" xfId="0" applyNumberFormat="1" applyFont="1" applyFill="1" applyBorder="1" applyAlignment="1">
      <alignment horizontal="center" vertical="center" wrapText="1"/>
    </xf>
    <xf numFmtId="164" fontId="0" fillId="0" borderId="0" xfId="0" applyNumberFormat="1"/>
    <xf numFmtId="0" fontId="8" fillId="0" borderId="12" xfId="0" applyFont="1" applyBorder="1" applyAlignment="1">
      <alignment horizontal="center" vertical="center" wrapText="1"/>
    </xf>
    <xf numFmtId="1" fontId="8" fillId="0" borderId="12" xfId="0" applyNumberFormat="1" applyFont="1" applyBorder="1" applyAlignment="1">
      <alignment horizontal="center" vertical="center" wrapText="1"/>
    </xf>
    <xf numFmtId="0" fontId="3" fillId="2" borderId="2" xfId="0" applyFont="1" applyFill="1" applyBorder="1" applyAlignment="1">
      <alignment horizontal="center" vertical="center" wrapText="1"/>
    </xf>
    <xf numFmtId="0" fontId="5" fillId="0" borderId="12"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2" xfId="0" applyFont="1" applyBorder="1" applyAlignment="1">
      <alignment horizontal="center" vertical="center" wrapText="1"/>
    </xf>
    <xf numFmtId="1" fontId="8" fillId="0" borderId="12" xfId="0" applyNumberFormat="1" applyFont="1" applyBorder="1" applyAlignment="1">
      <alignment horizontal="center" vertical="center" wrapText="1"/>
    </xf>
    <xf numFmtId="0" fontId="1" fillId="5" borderId="0" xfId="0" applyFont="1" applyFill="1" applyAlignment="1">
      <alignment horizontal="center" vertical="center" wrapText="1"/>
    </xf>
    <xf numFmtId="0" fontId="1" fillId="5" borderId="13" xfId="0" applyFont="1" applyFill="1" applyBorder="1" applyAlignment="1">
      <alignment horizontal="center" vertical="center" wrapText="1"/>
    </xf>
    <xf numFmtId="0" fontId="1" fillId="0" borderId="8" xfId="0" applyFont="1" applyBorder="1" applyAlignment="1">
      <alignment horizontal="center" vertical="center" wrapText="1"/>
    </xf>
    <xf numFmtId="3" fontId="1" fillId="0" borderId="8" xfId="0" applyNumberFormat="1" applyFont="1" applyBorder="1" applyAlignment="1">
      <alignment horizontal="center" vertical="center" wrapText="1"/>
    </xf>
    <xf numFmtId="2" fontId="1" fillId="0" borderId="8" xfId="0" applyNumberFormat="1" applyFont="1" applyBorder="1" applyAlignment="1">
      <alignment horizontal="center" vertical="center" wrapText="1"/>
    </xf>
    <xf numFmtId="0" fontId="14" fillId="6" borderId="9" xfId="0" applyFont="1" applyFill="1" applyBorder="1" applyAlignment="1">
      <alignment horizontal="center" vertical="center"/>
    </xf>
    <xf numFmtId="0" fontId="10" fillId="0" borderId="9" xfId="0" applyFont="1" applyBorder="1" applyAlignment="1">
      <alignment horizontal="left" vertical="center" wrapText="1"/>
    </xf>
    <xf numFmtId="0" fontId="1" fillId="0" borderId="9" xfId="0" applyFont="1" applyBorder="1" applyAlignment="1">
      <alignment horizontal="center" vertical="center"/>
    </xf>
    <xf numFmtId="2" fontId="1" fillId="0" borderId="9" xfId="0" applyNumberFormat="1" applyFont="1" applyBorder="1" applyAlignment="1">
      <alignment horizontal="center" vertical="center"/>
    </xf>
    <xf numFmtId="9" fontId="0" fillId="0" borderId="0" xfId="1" applyFont="1" applyAlignment="1">
      <alignment wrapText="1"/>
    </xf>
    <xf numFmtId="2" fontId="0" fillId="0" borderId="0" xfId="0" applyNumberFormat="1"/>
    <xf numFmtId="1" fontId="8" fillId="0" borderId="14" xfId="0" applyNumberFormat="1" applyFont="1" applyFill="1" applyBorder="1" applyAlignment="1">
      <alignment horizontal="center" vertical="center" wrapText="1"/>
    </xf>
    <xf numFmtId="2" fontId="8" fillId="0" borderId="14" xfId="0" applyNumberFormat="1" applyFont="1" applyFill="1" applyBorder="1" applyAlignment="1">
      <alignment horizontal="center" vertical="center" wrapText="1"/>
    </xf>
    <xf numFmtId="1" fontId="8" fillId="0" borderId="2" xfId="0" applyNumberFormat="1" applyFont="1" applyBorder="1" applyAlignment="1">
      <alignment horizontal="left" vertical="center" wrapText="1"/>
    </xf>
    <xf numFmtId="1" fontId="6" fillId="3" borderId="2" xfId="0" applyNumberFormat="1" applyFont="1" applyFill="1" applyBorder="1" applyAlignment="1">
      <alignment horizontal="center" vertical="center" wrapText="1"/>
    </xf>
    <xf numFmtId="4" fontId="8" fillId="0" borderId="9" xfId="0" applyNumberFormat="1" applyFont="1" applyBorder="1" applyAlignment="1">
      <alignment horizontal="center" vertical="center" wrapText="1"/>
    </xf>
    <xf numFmtId="0" fontId="0" fillId="5" borderId="0" xfId="0" applyFill="1"/>
    <xf numFmtId="0" fontId="1" fillId="5" borderId="0" xfId="0" applyFont="1" applyFill="1"/>
    <xf numFmtId="0" fontId="1" fillId="5" borderId="0" xfId="0" applyFont="1" applyFill="1" applyAlignment="1">
      <alignment wrapText="1"/>
    </xf>
    <xf numFmtId="0" fontId="1" fillId="5" borderId="0" xfId="0" applyFont="1" applyFill="1" applyAlignment="1">
      <alignment horizontal="center" wrapText="1"/>
    </xf>
    <xf numFmtId="0" fontId="1" fillId="5" borderId="0" xfId="0" applyFont="1" applyFill="1" applyAlignment="1">
      <alignment horizontal="center"/>
    </xf>
    <xf numFmtId="0" fontId="10" fillId="5" borderId="0" xfId="0" applyFont="1" applyFill="1" applyAlignment="1">
      <alignment horizontal="center" vertical="center"/>
    </xf>
    <xf numFmtId="0" fontId="10" fillId="5" borderId="0" xfId="0" applyFont="1" applyFill="1" applyAlignment="1">
      <alignment horizontal="center" vertical="center" wrapText="1"/>
    </xf>
    <xf numFmtId="0" fontId="1" fillId="5" borderId="13" xfId="0" applyFont="1" applyFill="1" applyBorder="1" applyAlignment="1">
      <alignment horizontal="center"/>
    </xf>
    <xf numFmtId="0" fontId="10" fillId="0" borderId="15"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6" xfId="0" applyFont="1" applyBorder="1" applyAlignment="1">
      <alignment horizontal="center" vertical="center" wrapText="1"/>
    </xf>
    <xf numFmtId="10" fontId="1" fillId="0" borderId="8" xfId="0" applyNumberFormat="1" applyFont="1" applyBorder="1" applyAlignment="1">
      <alignment horizontal="center" vertical="center" wrapText="1"/>
    </xf>
    <xf numFmtId="9" fontId="1" fillId="0" borderId="8"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166" fontId="1" fillId="0" borderId="8" xfId="0" applyNumberFormat="1" applyFont="1" applyBorder="1" applyAlignment="1">
      <alignment horizontal="center" vertical="center" wrapText="1"/>
    </xf>
    <xf numFmtId="3" fontId="1" fillId="5" borderId="0" xfId="0" applyNumberFormat="1" applyFont="1" applyFill="1"/>
    <xf numFmtId="0" fontId="10" fillId="7" borderId="20" xfId="0" applyFont="1" applyFill="1" applyBorder="1" applyAlignment="1">
      <alignment horizontal="center" vertical="center" wrapText="1"/>
    </xf>
    <xf numFmtId="0" fontId="10" fillId="7" borderId="22" xfId="0" applyFont="1" applyFill="1" applyBorder="1" applyAlignment="1">
      <alignment horizontal="center" vertical="center" wrapText="1"/>
    </xf>
    <xf numFmtId="0" fontId="7" fillId="0" borderId="7" xfId="0" applyFont="1" applyBorder="1" applyAlignment="1">
      <alignment horizontal="center" vertical="center"/>
    </xf>
    <xf numFmtId="0" fontId="8" fillId="0" borderId="8" xfId="0" applyFont="1" applyBorder="1" applyAlignment="1">
      <alignment horizontal="center" vertical="center"/>
    </xf>
    <xf numFmtId="4" fontId="7" fillId="0" borderId="15" xfId="0" applyNumberFormat="1" applyFont="1" applyBorder="1" applyAlignment="1">
      <alignment horizontal="center" vertical="center" wrapText="1"/>
    </xf>
    <xf numFmtId="4" fontId="7" fillId="0" borderId="16" xfId="0" applyNumberFormat="1" applyFont="1" applyBorder="1" applyAlignment="1">
      <alignment horizontal="center" vertical="center" wrapText="1"/>
    </xf>
    <xf numFmtId="9" fontId="7" fillId="0" borderId="7" xfId="0" applyNumberFormat="1" applyFont="1" applyBorder="1" applyAlignment="1">
      <alignment horizontal="center" vertical="center" wrapText="1"/>
    </xf>
    <xf numFmtId="9" fontId="8" fillId="0" borderId="8" xfId="0" applyNumberFormat="1" applyFont="1" applyBorder="1" applyAlignment="1">
      <alignment horizontal="center" vertical="center" wrapText="1"/>
    </xf>
    <xf numFmtId="0" fontId="10" fillId="7" borderId="1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19" xfId="0" applyFont="1" applyFill="1" applyBorder="1" applyAlignment="1">
      <alignment horizontal="center" vertical="center" wrapText="1"/>
    </xf>
    <xf numFmtId="3" fontId="10" fillId="7" borderId="13" xfId="0" applyNumberFormat="1" applyFont="1" applyFill="1" applyBorder="1" applyAlignment="1">
      <alignment horizontal="center" vertical="center" wrapText="1"/>
    </xf>
    <xf numFmtId="3" fontId="10" fillId="7" borderId="21" xfId="0" applyNumberFormat="1" applyFont="1" applyFill="1" applyBorder="1" applyAlignment="1">
      <alignment horizontal="center" vertical="center" wrapText="1"/>
    </xf>
    <xf numFmtId="10" fontId="8" fillId="0" borderId="8" xfId="0" applyNumberFormat="1" applyFont="1" applyBorder="1" applyAlignment="1">
      <alignment horizontal="center" vertical="center"/>
    </xf>
    <xf numFmtId="0" fontId="8" fillId="0" borderId="7" xfId="0" applyFont="1" applyBorder="1" applyAlignment="1">
      <alignment horizontal="center" vertical="center" wrapText="1"/>
    </xf>
    <xf numFmtId="1" fontId="8" fillId="0" borderId="8" xfId="0" applyNumberFormat="1" applyFont="1" applyBorder="1" applyAlignment="1">
      <alignment horizontal="center" vertical="center"/>
    </xf>
    <xf numFmtId="0" fontId="7" fillId="0" borderId="27" xfId="0" applyFont="1" applyBorder="1" applyAlignment="1">
      <alignment horizontal="center" vertical="center" wrapText="1"/>
    </xf>
    <xf numFmtId="0" fontId="7" fillId="0" borderId="26" xfId="0" applyFont="1" applyBorder="1" applyAlignment="1">
      <alignment horizontal="center" vertical="center" wrapText="1"/>
    </xf>
    <xf numFmtId="1" fontId="7" fillId="0" borderId="8" xfId="0" applyNumberFormat="1" applyFont="1" applyBorder="1" applyAlignment="1">
      <alignment horizontal="center" vertical="center"/>
    </xf>
    <xf numFmtId="1" fontId="1" fillId="5" borderId="0" xfId="0" applyNumberFormat="1" applyFont="1" applyFill="1" applyAlignment="1">
      <alignment wrapText="1"/>
    </xf>
    <xf numFmtId="3" fontId="8" fillId="0" borderId="8" xfId="0" applyNumberFormat="1" applyFont="1" applyBorder="1" applyAlignment="1">
      <alignment horizontal="center" vertical="center"/>
    </xf>
    <xf numFmtId="166" fontId="8" fillId="0" borderId="8" xfId="0" applyNumberFormat="1" applyFont="1" applyBorder="1" applyAlignment="1">
      <alignment horizontal="center" vertical="center"/>
    </xf>
    <xf numFmtId="4" fontId="8" fillId="0" borderId="8" xfId="0" applyNumberFormat="1" applyFont="1" applyBorder="1" applyAlignment="1">
      <alignment horizontal="center" vertical="center"/>
    </xf>
    <xf numFmtId="3" fontId="10" fillId="7" borderId="23" xfId="0" applyNumberFormat="1" applyFont="1" applyFill="1" applyBorder="1" applyAlignment="1">
      <alignment horizontal="center" vertical="center" wrapText="1"/>
    </xf>
    <xf numFmtId="3" fontId="10" fillId="7" borderId="24" xfId="0" applyNumberFormat="1" applyFont="1" applyFill="1" applyBorder="1" applyAlignment="1">
      <alignment horizontal="center" vertical="center" wrapText="1"/>
    </xf>
    <xf numFmtId="3" fontId="1" fillId="5" borderId="0" xfId="0" applyNumberFormat="1" applyFont="1" applyFill="1" applyAlignment="1">
      <alignment wrapText="1"/>
    </xf>
    <xf numFmtId="0" fontId="15" fillId="3" borderId="1" xfId="0" applyFont="1" applyFill="1" applyBorder="1" applyAlignment="1">
      <alignment horizontal="center" vertical="center" textRotation="90" wrapText="1"/>
    </xf>
    <xf numFmtId="0" fontId="15" fillId="3" borderId="29"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6" fillId="8" borderId="29" xfId="0" applyFont="1" applyFill="1" applyBorder="1" applyAlignment="1">
      <alignment horizontal="center" vertical="center"/>
    </xf>
    <xf numFmtId="0" fontId="17" fillId="0" borderId="29" xfId="0" applyFont="1" applyBorder="1" applyAlignment="1">
      <alignment horizontal="center" vertical="center" wrapText="1"/>
    </xf>
    <xf numFmtId="0" fontId="18" fillId="0" borderId="1" xfId="0" applyFont="1" applyBorder="1" applyAlignment="1">
      <alignment horizontal="left" vertical="center" wrapText="1"/>
    </xf>
    <xf numFmtId="3" fontId="18"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3" fontId="8" fillId="0" borderId="2" xfId="0" applyNumberFormat="1" applyFont="1" applyBorder="1" applyAlignment="1">
      <alignment horizontal="center" vertical="center" wrapText="1"/>
    </xf>
    <xf numFmtId="3" fontId="7" fillId="0" borderId="2" xfId="0" applyNumberFormat="1" applyFont="1" applyBorder="1" applyAlignment="1">
      <alignment horizontal="center" vertical="center" wrapText="1"/>
    </xf>
    <xf numFmtId="3" fontId="6" fillId="2" borderId="2" xfId="0" applyNumberFormat="1"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5" xfId="0" applyFont="1" applyFill="1" applyBorder="1" applyAlignment="1">
      <alignment horizontal="center" vertical="center"/>
    </xf>
    <xf numFmtId="0" fontId="7" fillId="5" borderId="36" xfId="0" applyFont="1" applyFill="1" applyBorder="1" applyAlignment="1">
      <alignment horizontal="center" vertical="center" wrapText="1"/>
    </xf>
    <xf numFmtId="0" fontId="7" fillId="5" borderId="36" xfId="0" applyFont="1" applyFill="1" applyBorder="1" applyAlignment="1">
      <alignment horizontal="center" vertical="center"/>
    </xf>
    <xf numFmtId="0" fontId="8" fillId="5" borderId="34" xfId="0" applyFont="1" applyFill="1" applyBorder="1" applyAlignment="1">
      <alignment vertical="center" wrapText="1"/>
    </xf>
    <xf numFmtId="3" fontId="8" fillId="5" borderId="36" xfId="0" applyNumberFormat="1" applyFont="1" applyFill="1" applyBorder="1" applyAlignment="1">
      <alignment horizontal="center" vertical="center" wrapText="1"/>
    </xf>
    <xf numFmtId="3" fontId="8" fillId="5" borderId="36" xfId="0" applyNumberFormat="1" applyFont="1" applyFill="1" applyBorder="1" applyAlignment="1">
      <alignment horizontal="center" vertical="center"/>
    </xf>
    <xf numFmtId="0" fontId="8" fillId="5" borderId="36" xfId="0" applyFont="1" applyFill="1" applyBorder="1" applyAlignment="1">
      <alignment horizontal="center" vertical="center" wrapText="1"/>
    </xf>
    <xf numFmtId="0" fontId="8" fillId="5" borderId="36" xfId="0" applyFont="1" applyFill="1" applyBorder="1" applyAlignment="1">
      <alignment horizontal="center" vertical="center"/>
    </xf>
    <xf numFmtId="0" fontId="0" fillId="5" borderId="0" xfId="0" applyFill="1" applyAlignment="1">
      <alignment wrapText="1"/>
    </xf>
    <xf numFmtId="0" fontId="0" fillId="5" borderId="0" xfId="0" applyFill="1" applyAlignment="1"/>
    <xf numFmtId="0" fontId="1" fillId="5" borderId="37" xfId="0" applyFont="1" applyFill="1" applyBorder="1" applyAlignment="1">
      <alignment horizontal="center" wrapText="1"/>
    </xf>
    <xf numFmtId="10" fontId="1" fillId="5" borderId="0" xfId="1" applyNumberFormat="1" applyFont="1" applyFill="1" applyAlignment="1">
      <alignment horizontal="center" vertical="center" wrapText="1"/>
    </xf>
    <xf numFmtId="17" fontId="1" fillId="5" borderId="0" xfId="0" quotePrefix="1" applyNumberFormat="1" applyFont="1" applyFill="1" applyAlignment="1">
      <alignment horizontal="center" vertical="center" wrapText="1"/>
    </xf>
    <xf numFmtId="0" fontId="1" fillId="5" borderId="0" xfId="0" quotePrefix="1" applyFont="1" applyFill="1" applyAlignment="1">
      <alignment horizontal="center" wrapText="1"/>
    </xf>
    <xf numFmtId="1" fontId="1" fillId="5" borderId="13" xfId="0" applyNumberFormat="1" applyFont="1" applyFill="1" applyBorder="1" applyAlignment="1">
      <alignment horizontal="center" vertical="center" wrapText="1"/>
    </xf>
    <xf numFmtId="0" fontId="10" fillId="0" borderId="41"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44" xfId="0" applyFont="1" applyBorder="1" applyAlignment="1">
      <alignment horizontal="center" vertical="center" wrapText="1"/>
    </xf>
    <xf numFmtId="0" fontId="10" fillId="0" borderId="43"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6" xfId="0" applyFont="1" applyBorder="1" applyAlignment="1">
      <alignment horizontal="center" vertical="center" wrapText="1"/>
    </xf>
    <xf numFmtId="3" fontId="1" fillId="0" borderId="45" xfId="0" applyNumberFormat="1" applyFont="1" applyBorder="1" applyAlignment="1">
      <alignment horizontal="center" vertical="center" wrapText="1"/>
    </xf>
    <xf numFmtId="0" fontId="10" fillId="0" borderId="48" xfId="0" applyFont="1" applyBorder="1" applyAlignment="1">
      <alignment horizontal="center" vertical="center" wrapText="1"/>
    </xf>
    <xf numFmtId="0" fontId="1" fillId="0" borderId="48" xfId="0" applyFont="1" applyBorder="1" applyAlignment="1">
      <alignment horizontal="center" vertical="center" wrapText="1"/>
    </xf>
    <xf numFmtId="165" fontId="1" fillId="0" borderId="48" xfId="0" applyNumberFormat="1" applyFont="1" applyBorder="1" applyAlignment="1">
      <alignment horizontal="center" vertical="center" wrapText="1"/>
    </xf>
    <xf numFmtId="3" fontId="1" fillId="0" borderId="48" xfId="0" applyNumberFormat="1" applyFont="1" applyBorder="1" applyAlignment="1">
      <alignment horizontal="center" vertical="center" wrapText="1"/>
    </xf>
    <xf numFmtId="0" fontId="10" fillId="0" borderId="47" xfId="0" applyFont="1" applyBorder="1" applyAlignment="1">
      <alignment horizontal="center" vertical="center" wrapText="1"/>
    </xf>
    <xf numFmtId="0" fontId="10" fillId="0" borderId="49" xfId="0" applyFont="1" applyBorder="1" applyAlignment="1">
      <alignment horizontal="center" vertical="center" wrapText="1"/>
    </xf>
    <xf numFmtId="3" fontId="8" fillId="0" borderId="12" xfId="0" applyNumberFormat="1" applyFont="1" applyBorder="1" applyAlignment="1">
      <alignment horizontal="center" vertical="center" wrapText="1"/>
    </xf>
    <xf numFmtId="1" fontId="3" fillId="2" borderId="2" xfId="0" applyNumberFormat="1" applyFont="1" applyFill="1" applyBorder="1" applyAlignment="1">
      <alignment horizontal="center" vertical="center" wrapText="1"/>
    </xf>
    <xf numFmtId="1" fontId="3" fillId="3" borderId="2" xfId="0" applyNumberFormat="1" applyFont="1" applyFill="1" applyBorder="1" applyAlignment="1">
      <alignment horizontal="center" vertical="center" wrapText="1"/>
    </xf>
    <xf numFmtId="1" fontId="5" fillId="0" borderId="2" xfId="0" applyNumberFormat="1" applyFont="1" applyBorder="1" applyAlignment="1">
      <alignment horizontal="center" vertical="center" wrapText="1"/>
    </xf>
    <xf numFmtId="0" fontId="5" fillId="0" borderId="2" xfId="0" quotePrefix="1" applyFont="1" applyBorder="1" applyAlignment="1">
      <alignment horizontal="center" vertical="center" wrapText="1"/>
    </xf>
    <xf numFmtId="8" fontId="3" fillId="9" borderId="2" xfId="2" applyNumberFormat="1" applyFont="1" applyFill="1" applyBorder="1" applyAlignment="1">
      <alignment horizontal="center" vertical="center" wrapText="1"/>
    </xf>
    <xf numFmtId="0" fontId="14" fillId="9"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21" fillId="0" borderId="50" xfId="0" applyFont="1" applyFill="1" applyBorder="1" applyAlignment="1">
      <alignment horizontal="center" vertical="center" wrapText="1"/>
    </xf>
    <xf numFmtId="0" fontId="21" fillId="0" borderId="0" xfId="0" applyFont="1" applyFill="1" applyAlignment="1">
      <alignment wrapText="1"/>
    </xf>
    <xf numFmtId="0" fontId="21" fillId="0" borderId="0" xfId="0" applyFont="1" applyFill="1" applyAlignment="1">
      <alignment horizontal="center" wrapText="1"/>
    </xf>
    <xf numFmtId="0" fontId="5" fillId="0" borderId="2" xfId="0" applyFont="1" applyFill="1" applyBorder="1" applyAlignment="1">
      <alignment horizontal="center" vertical="center" wrapText="1"/>
    </xf>
    <xf numFmtId="164" fontId="5" fillId="0" borderId="2" xfId="0" applyNumberFormat="1" applyFont="1" applyFill="1" applyBorder="1" applyAlignment="1">
      <alignment horizontal="center" vertical="center" wrapText="1"/>
    </xf>
    <xf numFmtId="1" fontId="5" fillId="0" borderId="2" xfId="0" applyNumberFormat="1" applyFont="1" applyFill="1" applyBorder="1" applyAlignment="1">
      <alignment horizontal="center" vertical="center" wrapText="1"/>
    </xf>
    <xf numFmtId="0" fontId="0" fillId="0" borderId="0" xfId="0" applyFill="1"/>
    <xf numFmtId="0" fontId="5" fillId="0" borderId="2" xfId="0" applyFont="1" applyFill="1" applyBorder="1" applyAlignment="1">
      <alignment horizontal="left" vertical="center" wrapText="1"/>
    </xf>
    <xf numFmtId="8" fontId="5" fillId="0" borderId="2" xfId="0" applyNumberFormat="1" applyFont="1" applyFill="1" applyBorder="1" applyAlignment="1">
      <alignment horizontal="center" vertical="center" wrapText="1"/>
    </xf>
    <xf numFmtId="0" fontId="5" fillId="0" borderId="0" xfId="0" applyFont="1" applyAlignment="1">
      <alignment horizontal="center" wrapText="1"/>
    </xf>
    <xf numFmtId="0" fontId="9" fillId="6" borderId="9" xfId="0" applyFont="1" applyFill="1" applyBorder="1" applyAlignment="1">
      <alignment horizontal="center" vertical="center" wrapText="1"/>
    </xf>
    <xf numFmtId="0" fontId="9" fillId="6" borderId="9" xfId="0" applyFont="1" applyFill="1" applyBorder="1" applyAlignment="1">
      <alignment horizontal="center" vertical="center"/>
    </xf>
    <xf numFmtId="0" fontId="6" fillId="3" borderId="2" xfId="0" applyFont="1" applyFill="1" applyBorder="1" applyAlignment="1">
      <alignment horizontal="left" vertical="center" wrapText="1"/>
    </xf>
    <xf numFmtId="4" fontId="6" fillId="3" borderId="2" xfId="0" applyNumberFormat="1" applyFont="1" applyFill="1" applyBorder="1" applyAlignment="1">
      <alignment horizontal="left" vertical="center" wrapText="1"/>
    </xf>
    <xf numFmtId="1" fontId="6" fillId="3" borderId="2" xfId="0" applyNumberFormat="1" applyFont="1" applyFill="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164" fontId="3"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15" fillId="3" borderId="28" xfId="0" applyFont="1" applyFill="1" applyBorder="1" applyAlignment="1">
      <alignment horizontal="center" vertical="center" textRotation="90" wrapText="1"/>
    </xf>
    <xf numFmtId="0" fontId="15" fillId="3" borderId="29" xfId="0" applyFont="1" applyFill="1" applyBorder="1" applyAlignment="1">
      <alignment horizontal="center" vertical="center" textRotation="90" wrapText="1"/>
    </xf>
    <xf numFmtId="0" fontId="15" fillId="3" borderId="32"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16" fillId="8" borderId="32" xfId="0" applyFont="1" applyFill="1" applyBorder="1" applyAlignment="1">
      <alignment horizontal="left" vertical="center"/>
    </xf>
    <xf numFmtId="0" fontId="16" fillId="8" borderId="31" xfId="0" applyFont="1" applyFill="1" applyBorder="1" applyAlignment="1">
      <alignment horizontal="left" vertical="center"/>
    </xf>
    <xf numFmtId="0" fontId="16" fillId="8" borderId="30" xfId="0" applyFont="1" applyFill="1" applyBorder="1" applyAlignment="1">
      <alignment horizontal="left" vertical="center"/>
    </xf>
    <xf numFmtId="0" fontId="19" fillId="8" borderId="32" xfId="0" applyFont="1" applyFill="1" applyBorder="1" applyAlignment="1">
      <alignment horizontal="left" vertical="center"/>
    </xf>
    <xf numFmtId="0" fontId="19" fillId="8" borderId="31" xfId="0" applyFont="1" applyFill="1" applyBorder="1" applyAlignment="1">
      <alignment horizontal="left" vertical="center"/>
    </xf>
    <xf numFmtId="0" fontId="19" fillId="8" borderId="30" xfId="0" applyFont="1" applyFill="1" applyBorder="1" applyAlignment="1">
      <alignment horizontal="left" vertical="center"/>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6" xfId="0" applyFont="1" applyBorder="1" applyAlignment="1">
      <alignment horizontal="center" vertical="center" wrapText="1"/>
    </xf>
    <xf numFmtId="0" fontId="10" fillId="5" borderId="33" xfId="0" applyFont="1" applyFill="1" applyBorder="1" applyAlignment="1">
      <alignment horizontal="center" vertical="center" wrapText="1"/>
    </xf>
    <xf numFmtId="0" fontId="10" fillId="5" borderId="34" xfId="0" applyFont="1" applyFill="1" applyBorder="1" applyAlignment="1">
      <alignment horizontal="center" vertical="center" wrapText="1"/>
    </xf>
    <xf numFmtId="0" fontId="1" fillId="5" borderId="40" xfId="0" applyFont="1" applyFill="1" applyBorder="1" applyAlignment="1">
      <alignment horizontal="center" vertical="center" wrapText="1"/>
    </xf>
    <xf numFmtId="0" fontId="1" fillId="5" borderId="37" xfId="0" applyFont="1" applyFill="1" applyBorder="1" applyAlignment="1">
      <alignment horizontal="center" vertical="center" wrapText="1"/>
    </xf>
    <xf numFmtId="0" fontId="1" fillId="5" borderId="38" xfId="0" applyFont="1" applyFill="1" applyBorder="1" applyAlignment="1">
      <alignment horizontal="center" vertical="center" wrapText="1"/>
    </xf>
    <xf numFmtId="0" fontId="1" fillId="5" borderId="39" xfId="0" applyFont="1" applyFill="1" applyBorder="1" applyAlignment="1">
      <alignment horizontal="center" vertical="center" wrapText="1"/>
    </xf>
    <xf numFmtId="0" fontId="14" fillId="10" borderId="0" xfId="0" applyFont="1" applyFill="1" applyAlignment="1">
      <alignment horizontal="justify" vertical="center"/>
    </xf>
  </cellXfs>
  <cellStyles count="3">
    <cellStyle name="Normalny" xfId="0" builtinId="0"/>
    <cellStyle name="Procentowy" xfId="1" builtinId="5"/>
    <cellStyle name="Walutowy" xfId="2" builtinId="4"/>
  </cellStyles>
  <dxfs count="40">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
      <fill>
        <patternFill>
          <bgColor theme="1" tint="4.9989318521683403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0-DAC0-4B67-8BAB-3C7FCE3BEE91}"/>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1-DAC0-4B67-8BAB-3C7FCE3BEE91}"/>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2-DAC0-4B67-8BAB-3C7FCE3BEE91}"/>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3-DAC0-4B67-8BAB-3C7FCE3BEE91}"/>
              </c:ext>
            </c:extLst>
          </c:dPt>
          <c:dPt>
            <c:idx val="4"/>
            <c:bubble3D val="0"/>
            <c:spPr>
              <a:gradFill rotWithShape="1">
                <a:gsLst>
                  <a:gs pos="0">
                    <a:schemeClr val="accent5">
                      <a:lumMod val="110000"/>
                      <a:satMod val="105000"/>
                      <a:tint val="67000"/>
                    </a:schemeClr>
                  </a:gs>
                  <a:gs pos="50000">
                    <a:schemeClr val="accent5">
                      <a:lumMod val="105000"/>
                      <a:satMod val="103000"/>
                      <a:tint val="73000"/>
                    </a:schemeClr>
                  </a:gs>
                  <a:gs pos="100000">
                    <a:schemeClr val="accent5">
                      <a:lumMod val="105000"/>
                      <a:satMod val="109000"/>
                      <a:tint val="81000"/>
                    </a:schemeClr>
                  </a:gs>
                </a:gsLst>
                <a:lin ang="5400000" scaled="0"/>
              </a:gradFill>
              <a:ln w="9525" cap="flat" cmpd="sng" algn="ctr">
                <a:solidFill>
                  <a:schemeClr val="accent5">
                    <a:shade val="95000"/>
                  </a:schemeClr>
                </a:solidFill>
                <a:round/>
              </a:ln>
              <a:effectLst/>
            </c:spPr>
            <c:extLst>
              <c:ext xmlns:c16="http://schemas.microsoft.com/office/drawing/2014/chart" uri="{C3380CC4-5D6E-409C-BE32-E72D297353CC}">
                <c16:uniqueId val="{00000004-DAC0-4B67-8BAB-3C7FCE3BEE91}"/>
              </c:ext>
            </c:extLst>
          </c:dPt>
          <c:dLbls>
            <c:numFmt formatCode="0.00%" sourceLinked="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'2013'!$B$18:$B$23</c:f>
              <c:strCache>
                <c:ptCount val="5"/>
                <c:pt idx="0">
                  <c:v>Budynki, wyposażenie/ urządzenia komunalne</c:v>
                </c:pt>
                <c:pt idx="1">
                  <c:v>Budynki mieszkalne</c:v>
                </c:pt>
                <c:pt idx="2">
                  <c:v>Komunalne oświetlenie uliczne</c:v>
                </c:pt>
                <c:pt idx="3">
                  <c:v>Przedsiębiorstwa</c:v>
                </c:pt>
                <c:pt idx="4">
                  <c:v>Transport</c:v>
                </c:pt>
              </c:strCache>
            </c:strRef>
          </c:cat>
          <c:val>
            <c:numRef>
              <c:f>'2013'!$C$18:$C$23</c:f>
              <c:numCache>
                <c:formatCode>General</c:formatCode>
                <c:ptCount val="5"/>
                <c:pt idx="0">
                  <c:v>15818</c:v>
                </c:pt>
                <c:pt idx="1">
                  <c:v>178289</c:v>
                </c:pt>
                <c:pt idx="2">
                  <c:v>1711</c:v>
                </c:pt>
                <c:pt idx="3">
                  <c:v>24662</c:v>
                </c:pt>
                <c:pt idx="4">
                  <c:v>118799.49</c:v>
                </c:pt>
              </c:numCache>
            </c:numRef>
          </c:val>
          <c:extLst>
            <c:ext xmlns:c16="http://schemas.microsoft.com/office/drawing/2014/chart" uri="{C3380CC4-5D6E-409C-BE32-E72D297353CC}">
              <c16:uniqueId val="{00000000-764F-4C5C-88C4-B65DB459F398}"/>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9AA4-4061-BB68-F20E8B71F7BF}"/>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9AA4-4061-BB68-F20E8B71F7BF}"/>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5-9AA4-4061-BB68-F20E8B71F7BF}"/>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9AA4-4061-BB68-F20E8B71F7BF}"/>
              </c:ext>
            </c:extLst>
          </c:dPt>
          <c:dPt>
            <c:idx val="4"/>
            <c:bubble3D val="0"/>
            <c:spPr>
              <a:gradFill rotWithShape="1">
                <a:gsLst>
                  <a:gs pos="0">
                    <a:schemeClr val="accent5">
                      <a:lumMod val="110000"/>
                      <a:satMod val="105000"/>
                      <a:tint val="67000"/>
                    </a:schemeClr>
                  </a:gs>
                  <a:gs pos="50000">
                    <a:schemeClr val="accent5">
                      <a:lumMod val="105000"/>
                      <a:satMod val="103000"/>
                      <a:tint val="73000"/>
                    </a:schemeClr>
                  </a:gs>
                  <a:gs pos="100000">
                    <a:schemeClr val="accent5">
                      <a:lumMod val="105000"/>
                      <a:satMod val="109000"/>
                      <a:tint val="81000"/>
                    </a:schemeClr>
                  </a:gs>
                </a:gsLst>
                <a:lin ang="5400000" scaled="0"/>
              </a:gradFill>
              <a:ln w="9525" cap="flat" cmpd="sng" algn="ctr">
                <a:solidFill>
                  <a:schemeClr val="accent5">
                    <a:shade val="95000"/>
                  </a:schemeClr>
                </a:solidFill>
                <a:round/>
              </a:ln>
              <a:effectLst/>
            </c:spPr>
            <c:extLst>
              <c:ext xmlns:c16="http://schemas.microsoft.com/office/drawing/2014/chart" uri="{C3380CC4-5D6E-409C-BE32-E72D297353CC}">
                <c16:uniqueId val="{00000009-9AA4-4061-BB68-F20E8B71F7BF}"/>
              </c:ext>
            </c:extLst>
          </c:dPt>
          <c:dLbls>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dLblPos val="bestFit"/>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'2013'!$B$18:$B$23</c:f>
              <c:strCache>
                <c:ptCount val="5"/>
                <c:pt idx="0">
                  <c:v>Budynki, wyposażenie/ urządzenia komunalne</c:v>
                </c:pt>
                <c:pt idx="1">
                  <c:v>Budynki mieszkalne</c:v>
                </c:pt>
                <c:pt idx="2">
                  <c:v>Komunalne oświetlenie uliczne</c:v>
                </c:pt>
                <c:pt idx="3">
                  <c:v>Przedsiębiorstwa</c:v>
                </c:pt>
                <c:pt idx="4">
                  <c:v>Transport</c:v>
                </c:pt>
              </c:strCache>
            </c:strRef>
          </c:cat>
          <c:val>
            <c:numRef>
              <c:f>'2013'!$G$18:$G$23</c:f>
              <c:numCache>
                <c:formatCode>General</c:formatCode>
                <c:ptCount val="5"/>
                <c:pt idx="0">
                  <c:v>5590</c:v>
                </c:pt>
                <c:pt idx="1">
                  <c:v>70820</c:v>
                </c:pt>
                <c:pt idx="2">
                  <c:v>1389</c:v>
                </c:pt>
                <c:pt idx="3">
                  <c:v>16328</c:v>
                </c:pt>
                <c:pt idx="4">
                  <c:v>29695</c:v>
                </c:pt>
              </c:numCache>
            </c:numRef>
          </c:val>
          <c:extLst>
            <c:ext xmlns:c16="http://schemas.microsoft.com/office/drawing/2014/chart" uri="{C3380CC4-5D6E-409C-BE32-E72D297353CC}">
              <c16:uniqueId val="{00000010-9AA4-4061-BB68-F20E8B71F7BF}"/>
            </c:ext>
          </c:extLst>
        </c:ser>
        <c:dLbls>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F9F5-4A77-9F96-6A1BB7779719}"/>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F9F5-4A77-9F96-6A1BB7779719}"/>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5-F9F5-4A77-9F96-6A1BB7779719}"/>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F9F5-4A77-9F96-6A1BB7779719}"/>
              </c:ext>
            </c:extLst>
          </c:dPt>
          <c:dPt>
            <c:idx val="4"/>
            <c:bubble3D val="0"/>
            <c:spPr>
              <a:gradFill rotWithShape="1">
                <a:gsLst>
                  <a:gs pos="0">
                    <a:schemeClr val="accent5">
                      <a:lumMod val="110000"/>
                      <a:satMod val="105000"/>
                      <a:tint val="67000"/>
                    </a:schemeClr>
                  </a:gs>
                  <a:gs pos="50000">
                    <a:schemeClr val="accent5">
                      <a:lumMod val="105000"/>
                      <a:satMod val="103000"/>
                      <a:tint val="73000"/>
                    </a:schemeClr>
                  </a:gs>
                  <a:gs pos="100000">
                    <a:schemeClr val="accent5">
                      <a:lumMod val="105000"/>
                      <a:satMod val="109000"/>
                      <a:tint val="81000"/>
                    </a:schemeClr>
                  </a:gs>
                </a:gsLst>
                <a:lin ang="5400000" scaled="0"/>
              </a:gradFill>
              <a:ln w="9525" cap="flat" cmpd="sng" algn="ctr">
                <a:solidFill>
                  <a:schemeClr val="accent5">
                    <a:shade val="95000"/>
                  </a:schemeClr>
                </a:solidFill>
                <a:round/>
              </a:ln>
              <a:effectLst/>
            </c:spPr>
            <c:extLst>
              <c:ext xmlns:c16="http://schemas.microsoft.com/office/drawing/2014/chart" uri="{C3380CC4-5D6E-409C-BE32-E72D297353CC}">
                <c16:uniqueId val="{00000009-F9F5-4A77-9F96-6A1BB7779719}"/>
              </c:ext>
            </c:extLst>
          </c:dPt>
          <c:dLbls>
            <c:numFmt formatCode="0.00%" sourceLinked="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'2020'!$B$18:$B$24</c:f>
              <c:strCache>
                <c:ptCount val="5"/>
                <c:pt idx="0">
                  <c:v>Budynki, wyposażenie/ urządzenia komunalne</c:v>
                </c:pt>
                <c:pt idx="1">
                  <c:v>Budynki mieszkalne</c:v>
                </c:pt>
                <c:pt idx="2">
                  <c:v>Komunalne oświetlenie uliczne</c:v>
                </c:pt>
                <c:pt idx="3">
                  <c:v>Przedsiębiorstwa</c:v>
                </c:pt>
                <c:pt idx="4">
                  <c:v>Transport</c:v>
                </c:pt>
              </c:strCache>
            </c:strRef>
          </c:cat>
          <c:val>
            <c:numRef>
              <c:f>'2020'!$C$18:$C$24</c:f>
              <c:numCache>
                <c:formatCode>General</c:formatCode>
                <c:ptCount val="5"/>
                <c:pt idx="0">
                  <c:v>13174.63</c:v>
                </c:pt>
                <c:pt idx="1">
                  <c:v>224191</c:v>
                </c:pt>
                <c:pt idx="2">
                  <c:v>1711</c:v>
                </c:pt>
                <c:pt idx="3">
                  <c:v>193582.61111111112</c:v>
                </c:pt>
                <c:pt idx="4">
                  <c:v>56692.884603216822</c:v>
                </c:pt>
              </c:numCache>
            </c:numRef>
          </c:val>
          <c:extLst>
            <c:ext xmlns:c16="http://schemas.microsoft.com/office/drawing/2014/chart" uri="{C3380CC4-5D6E-409C-BE32-E72D297353CC}">
              <c16:uniqueId val="{00000010-F9F5-4A77-9F96-6A1BB7779719}"/>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4AF7-45E5-B167-0702D767C5A0}"/>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4AF7-45E5-B167-0702D767C5A0}"/>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5-4AF7-45E5-B167-0702D767C5A0}"/>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4AF7-45E5-B167-0702D767C5A0}"/>
              </c:ext>
            </c:extLst>
          </c:dPt>
          <c:dPt>
            <c:idx val="4"/>
            <c:bubble3D val="0"/>
            <c:spPr>
              <a:gradFill rotWithShape="1">
                <a:gsLst>
                  <a:gs pos="0">
                    <a:schemeClr val="accent5">
                      <a:lumMod val="110000"/>
                      <a:satMod val="105000"/>
                      <a:tint val="67000"/>
                    </a:schemeClr>
                  </a:gs>
                  <a:gs pos="50000">
                    <a:schemeClr val="accent5">
                      <a:lumMod val="105000"/>
                      <a:satMod val="103000"/>
                      <a:tint val="73000"/>
                    </a:schemeClr>
                  </a:gs>
                  <a:gs pos="100000">
                    <a:schemeClr val="accent5">
                      <a:lumMod val="105000"/>
                      <a:satMod val="109000"/>
                      <a:tint val="81000"/>
                    </a:schemeClr>
                  </a:gs>
                </a:gsLst>
                <a:lin ang="5400000" scaled="0"/>
              </a:gradFill>
              <a:ln w="9525" cap="flat" cmpd="sng" algn="ctr">
                <a:solidFill>
                  <a:schemeClr val="accent5">
                    <a:shade val="95000"/>
                  </a:schemeClr>
                </a:solidFill>
                <a:round/>
              </a:ln>
              <a:effectLst/>
            </c:spPr>
            <c:extLst>
              <c:ext xmlns:c16="http://schemas.microsoft.com/office/drawing/2014/chart" uri="{C3380CC4-5D6E-409C-BE32-E72D297353CC}">
                <c16:uniqueId val="{00000009-4AF7-45E5-B167-0702D767C5A0}"/>
              </c:ext>
            </c:extLst>
          </c:dPt>
          <c:dLbls>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dLblPos val="bestFit"/>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'2020'!$B$18:$B$24</c:f>
              <c:strCache>
                <c:ptCount val="5"/>
                <c:pt idx="0">
                  <c:v>Budynki, wyposażenie/ urządzenia komunalne</c:v>
                </c:pt>
                <c:pt idx="1">
                  <c:v>Budynki mieszkalne</c:v>
                </c:pt>
                <c:pt idx="2">
                  <c:v>Komunalne oświetlenie uliczne</c:v>
                </c:pt>
                <c:pt idx="3">
                  <c:v>Przedsiębiorstwa</c:v>
                </c:pt>
                <c:pt idx="4">
                  <c:v>Transport</c:v>
                </c:pt>
              </c:strCache>
            </c:strRef>
          </c:cat>
          <c:val>
            <c:numRef>
              <c:f>'2020'!$G$18:$G$24</c:f>
              <c:numCache>
                <c:formatCode>General</c:formatCode>
                <c:ptCount val="5"/>
                <c:pt idx="0">
                  <c:v>4087.5105679999997</c:v>
                </c:pt>
                <c:pt idx="1">
                  <c:v>82156</c:v>
                </c:pt>
                <c:pt idx="2">
                  <c:v>1308.915</c:v>
                </c:pt>
                <c:pt idx="3">
                  <c:v>145165.67499999999</c:v>
                </c:pt>
                <c:pt idx="4">
                  <c:v>17034.873439231731</c:v>
                </c:pt>
              </c:numCache>
            </c:numRef>
          </c:val>
          <c:extLst>
            <c:ext xmlns:c16="http://schemas.microsoft.com/office/drawing/2014/chart" uri="{C3380CC4-5D6E-409C-BE32-E72D297353CC}">
              <c16:uniqueId val="{00000010-4AF7-45E5-B167-0702D767C5A0}"/>
            </c:ext>
          </c:extLst>
        </c:ser>
        <c:dLbls>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B36C-4423-BAE6-4AC9F0B739F7}"/>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B36C-4423-BAE6-4AC9F0B739F7}"/>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5-B36C-4423-BAE6-4AC9F0B739F7}"/>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B36C-4423-BAE6-4AC9F0B739F7}"/>
              </c:ext>
            </c:extLst>
          </c:dPt>
          <c:dPt>
            <c:idx val="4"/>
            <c:bubble3D val="0"/>
            <c:spPr>
              <a:gradFill rotWithShape="1">
                <a:gsLst>
                  <a:gs pos="0">
                    <a:schemeClr val="accent5">
                      <a:lumMod val="110000"/>
                      <a:satMod val="105000"/>
                      <a:tint val="67000"/>
                    </a:schemeClr>
                  </a:gs>
                  <a:gs pos="50000">
                    <a:schemeClr val="accent5">
                      <a:lumMod val="105000"/>
                      <a:satMod val="103000"/>
                      <a:tint val="73000"/>
                    </a:schemeClr>
                  </a:gs>
                  <a:gs pos="100000">
                    <a:schemeClr val="accent5">
                      <a:lumMod val="105000"/>
                      <a:satMod val="109000"/>
                      <a:tint val="81000"/>
                    </a:schemeClr>
                  </a:gs>
                </a:gsLst>
                <a:lin ang="5400000" scaled="0"/>
              </a:gradFill>
              <a:ln w="9525" cap="flat" cmpd="sng" algn="ctr">
                <a:solidFill>
                  <a:schemeClr val="accent5">
                    <a:shade val="95000"/>
                  </a:schemeClr>
                </a:solidFill>
                <a:round/>
              </a:ln>
              <a:effectLst/>
            </c:spPr>
            <c:extLst>
              <c:ext xmlns:c16="http://schemas.microsoft.com/office/drawing/2014/chart" uri="{C3380CC4-5D6E-409C-BE32-E72D297353CC}">
                <c16:uniqueId val="{00000009-B36C-4423-BAE6-4AC9F0B739F7}"/>
              </c:ext>
            </c:extLst>
          </c:dPt>
          <c:dLbls>
            <c:numFmt formatCode="0.00%" sourceLinked="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'2027'!$B$18:$B$24</c:f>
              <c:strCache>
                <c:ptCount val="5"/>
                <c:pt idx="0">
                  <c:v>Budynki, wyposażenie/ urządzenia komunalne</c:v>
                </c:pt>
                <c:pt idx="1">
                  <c:v>Budynki mieszkalne</c:v>
                </c:pt>
                <c:pt idx="2">
                  <c:v>Komunalne oświetlenie uliczne</c:v>
                </c:pt>
                <c:pt idx="3">
                  <c:v>Przedsiębiorstwa</c:v>
                </c:pt>
                <c:pt idx="4">
                  <c:v>Transport</c:v>
                </c:pt>
              </c:strCache>
            </c:strRef>
          </c:cat>
          <c:val>
            <c:numRef>
              <c:f>'2027'!$C$18:$C$24</c:f>
              <c:numCache>
                <c:formatCode>General</c:formatCode>
                <c:ptCount val="5"/>
                <c:pt idx="0">
                  <c:v>12825.769999999999</c:v>
                </c:pt>
                <c:pt idx="1">
                  <c:v>226477.77454469437</c:v>
                </c:pt>
                <c:pt idx="2">
                  <c:v>1711</c:v>
                </c:pt>
                <c:pt idx="3">
                  <c:v>193583</c:v>
                </c:pt>
                <c:pt idx="4">
                  <c:v>57692.482106424701</c:v>
                </c:pt>
              </c:numCache>
            </c:numRef>
          </c:val>
          <c:extLst>
            <c:ext xmlns:c16="http://schemas.microsoft.com/office/drawing/2014/chart" uri="{C3380CC4-5D6E-409C-BE32-E72D297353CC}">
              <c16:uniqueId val="{00000010-B36C-4423-BAE6-4AC9F0B739F7}"/>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29E3-4FB0-B2A2-59D2B05824DB}"/>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29E3-4FB0-B2A2-59D2B05824DB}"/>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5-29E3-4FB0-B2A2-59D2B05824DB}"/>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29E3-4FB0-B2A2-59D2B05824DB}"/>
              </c:ext>
            </c:extLst>
          </c:dPt>
          <c:dPt>
            <c:idx val="4"/>
            <c:bubble3D val="0"/>
            <c:spPr>
              <a:gradFill rotWithShape="1">
                <a:gsLst>
                  <a:gs pos="0">
                    <a:schemeClr val="accent5">
                      <a:lumMod val="110000"/>
                      <a:satMod val="105000"/>
                      <a:tint val="67000"/>
                    </a:schemeClr>
                  </a:gs>
                  <a:gs pos="50000">
                    <a:schemeClr val="accent5">
                      <a:lumMod val="105000"/>
                      <a:satMod val="103000"/>
                      <a:tint val="73000"/>
                    </a:schemeClr>
                  </a:gs>
                  <a:gs pos="100000">
                    <a:schemeClr val="accent5">
                      <a:lumMod val="105000"/>
                      <a:satMod val="109000"/>
                      <a:tint val="81000"/>
                    </a:schemeClr>
                  </a:gs>
                </a:gsLst>
                <a:lin ang="5400000" scaled="0"/>
              </a:gradFill>
              <a:ln w="9525" cap="flat" cmpd="sng" algn="ctr">
                <a:solidFill>
                  <a:schemeClr val="accent5">
                    <a:shade val="95000"/>
                  </a:schemeClr>
                </a:solidFill>
                <a:round/>
              </a:ln>
              <a:effectLst/>
            </c:spPr>
            <c:extLst>
              <c:ext xmlns:c16="http://schemas.microsoft.com/office/drawing/2014/chart" uri="{C3380CC4-5D6E-409C-BE32-E72D297353CC}">
                <c16:uniqueId val="{00000009-29E3-4FB0-B2A2-59D2B05824DB}"/>
              </c:ext>
            </c:extLst>
          </c:dPt>
          <c:dLbls>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dLblPos val="bestFit"/>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'2027'!$B$18:$B$24</c:f>
              <c:strCache>
                <c:ptCount val="5"/>
                <c:pt idx="0">
                  <c:v>Budynki, wyposażenie/ urządzenia komunalne</c:v>
                </c:pt>
                <c:pt idx="1">
                  <c:v>Budynki mieszkalne</c:v>
                </c:pt>
                <c:pt idx="2">
                  <c:v>Komunalne oświetlenie uliczne</c:v>
                </c:pt>
                <c:pt idx="3">
                  <c:v>Przedsiębiorstwa</c:v>
                </c:pt>
                <c:pt idx="4">
                  <c:v>Transport</c:v>
                </c:pt>
              </c:strCache>
            </c:strRef>
          </c:cat>
          <c:val>
            <c:numRef>
              <c:f>'2027'!$G$18:$G$24</c:f>
              <c:numCache>
                <c:formatCode>General</c:formatCode>
                <c:ptCount val="5"/>
                <c:pt idx="0">
                  <c:v>2388</c:v>
                </c:pt>
                <c:pt idx="1">
                  <c:v>83039.970184824298</c:v>
                </c:pt>
                <c:pt idx="2">
                  <c:v>1312</c:v>
                </c:pt>
                <c:pt idx="3">
                  <c:v>145529</c:v>
                </c:pt>
                <c:pt idx="4">
                  <c:v>16568.715939231719</c:v>
                </c:pt>
              </c:numCache>
            </c:numRef>
          </c:val>
          <c:extLst>
            <c:ext xmlns:c16="http://schemas.microsoft.com/office/drawing/2014/chart" uri="{C3380CC4-5D6E-409C-BE32-E72D297353CC}">
              <c16:uniqueId val="{00000010-29E3-4FB0-B2A2-59D2B05824DB}"/>
            </c:ext>
          </c:extLst>
        </c:ser>
        <c:dLbls>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'Podsumowanie inwestycji'!$B$1</c:f>
              <c:strCache>
                <c:ptCount val="1"/>
                <c:pt idx="0">
                  <c:v>Oszczędności energii do 2020 r.</c:v>
                </c:pt>
              </c:strCache>
            </c:strRef>
          </c:tx>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29E3-4FB0-B2A2-59D2B05824DB}"/>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29E3-4FB0-B2A2-59D2B05824DB}"/>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2-87B1-44FC-863F-345676FAE95A}"/>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CA67-4EAB-B8D6-CC7A89F87EA7}"/>
              </c:ext>
            </c:extLst>
          </c:dPt>
          <c:dLbls>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dLblPos val="ctr"/>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'Podsumowanie inwestycji'!$A$2:$A$8</c:f>
              <c:strCache>
                <c:ptCount val="4"/>
                <c:pt idx="0">
                  <c:v>Budynki użyteczności publicznej</c:v>
                </c:pt>
                <c:pt idx="1">
                  <c:v>Budynki mieszkalne</c:v>
                </c:pt>
                <c:pt idx="2">
                  <c:v>Przedsiębiorcy</c:v>
                </c:pt>
                <c:pt idx="3">
                  <c:v>Transport</c:v>
                </c:pt>
              </c:strCache>
            </c:strRef>
          </c:cat>
          <c:val>
            <c:numRef>
              <c:f>'Podsumowanie inwestycji'!$B$2:$B$8</c:f>
              <c:numCache>
                <c:formatCode>0</c:formatCode>
                <c:ptCount val="4"/>
                <c:pt idx="0">
                  <c:v>992.56</c:v>
                </c:pt>
                <c:pt idx="1">
                  <c:v>1653.6616666666666</c:v>
                </c:pt>
                <c:pt idx="2">
                  <c:v>25.2</c:v>
                </c:pt>
                <c:pt idx="3">
                  <c:v>1844.9687250000002</c:v>
                </c:pt>
              </c:numCache>
            </c:numRef>
          </c:val>
          <c:extLst>
            <c:ext xmlns:c16="http://schemas.microsoft.com/office/drawing/2014/chart" uri="{C3380CC4-5D6E-409C-BE32-E72D297353CC}">
              <c16:uniqueId val="{00000010-29E3-4FB0-B2A2-59D2B05824DB}"/>
            </c:ext>
          </c:extLst>
        </c:ser>
        <c:dLbls>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'Podsumowanie inwestycji'!$D$1</c:f>
              <c:strCache>
                <c:ptCount val="1"/>
                <c:pt idx="0">
                  <c:v>Roczna redukcja emisji CO2 do 2020 r.</c:v>
                </c:pt>
              </c:strCache>
            </c:strRef>
          </c:tx>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29E3-4FB0-B2A2-59D2B05824DB}"/>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29E3-4FB0-B2A2-59D2B05824DB}"/>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2-9DB1-4F3E-933D-400CE67805AF}"/>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282C-4BC8-A103-C5CB5C4E48A1}"/>
              </c:ext>
            </c:extLst>
          </c:dPt>
          <c:dLbls>
            <c:dLbl>
              <c:idx val="0"/>
              <c:layout>
                <c:manualLayout>
                  <c:x val="0.20129930555555556"/>
                  <c:y val="1.7945987654320986E-2"/>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29E3-4FB0-B2A2-59D2B05824DB}"/>
                </c:ext>
              </c:extLst>
            </c:dLbl>
            <c:dLbl>
              <c:idx val="3"/>
              <c:layout>
                <c:manualLayout>
                  <c:x val="-6.0381597222222222E-2"/>
                  <c:y val="1.7055555555555556E-3"/>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282C-4BC8-A103-C5CB5C4E48A1}"/>
                </c:ext>
              </c:extLst>
            </c:dLbl>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dLblPos val="ctr"/>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'Podsumowanie inwestycji'!$A$2:$A$8</c:f>
              <c:strCache>
                <c:ptCount val="4"/>
                <c:pt idx="0">
                  <c:v>Budynki użyteczności publicznej</c:v>
                </c:pt>
                <c:pt idx="1">
                  <c:v>Budynki mieszkalne</c:v>
                </c:pt>
                <c:pt idx="2">
                  <c:v>Przedsiębiorcy</c:v>
                </c:pt>
                <c:pt idx="3">
                  <c:v>Transport</c:v>
                </c:pt>
              </c:strCache>
            </c:strRef>
          </c:cat>
          <c:val>
            <c:numRef>
              <c:f>'Podsumowanie inwestycji'!$D$2:$D$8</c:f>
              <c:numCache>
                <c:formatCode>0</c:formatCode>
                <c:ptCount val="4"/>
                <c:pt idx="0">
                  <c:v>974.14</c:v>
                </c:pt>
                <c:pt idx="1">
                  <c:v>560.36752000000001</c:v>
                </c:pt>
                <c:pt idx="2">
                  <c:v>19.277999999999999</c:v>
                </c:pt>
                <c:pt idx="3">
                  <c:v>466.15749999999997</c:v>
                </c:pt>
              </c:numCache>
            </c:numRef>
          </c:val>
          <c:extLst>
            <c:ext xmlns:c16="http://schemas.microsoft.com/office/drawing/2014/chart" uri="{C3380CC4-5D6E-409C-BE32-E72D297353CC}">
              <c16:uniqueId val="{00000010-29E3-4FB0-B2A2-59D2B05824DB}"/>
            </c:ext>
          </c:extLst>
        </c:ser>
        <c:dLbls>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'Podsumowanie inwestycji'!$B$1</c:f>
              <c:strCache>
                <c:ptCount val="1"/>
                <c:pt idx="0">
                  <c:v>Oszczędności energii do 2020 r.</c:v>
                </c:pt>
              </c:strCache>
            </c:strRef>
          </c:tx>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29E3-4FB0-B2A2-59D2B05824DB}"/>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29E3-4FB0-B2A2-59D2B05824DB}"/>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2-8E56-4705-A2CE-F7BBB1B20E64}"/>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3544-456D-951E-F1ABF247224A}"/>
              </c:ext>
            </c:extLst>
          </c:dPt>
          <c:dLbls>
            <c:dLbl>
              <c:idx val="3"/>
              <c:layout>
                <c:manualLayout>
                  <c:x val="4.0226562499999952E-2"/>
                  <c:y val="9.3445987654320981E-2"/>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3544-456D-951E-F1ABF247224A}"/>
                </c:ext>
              </c:extLst>
            </c:dLbl>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dLblPos val="ctr"/>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'Podsumowanie inwestycji'!$A$22:$A$28</c:f>
              <c:strCache>
                <c:ptCount val="4"/>
                <c:pt idx="0">
                  <c:v>Budynki użyteczności publicznej</c:v>
                </c:pt>
                <c:pt idx="1">
                  <c:v>Budynki mieszkalne</c:v>
                </c:pt>
                <c:pt idx="2">
                  <c:v>Przedsiębiorcy</c:v>
                </c:pt>
                <c:pt idx="3">
                  <c:v>Transport</c:v>
                </c:pt>
              </c:strCache>
            </c:strRef>
          </c:cat>
          <c:val>
            <c:numRef>
              <c:f>'Podsumowanie inwestycji'!$B$22:$B$28</c:f>
              <c:numCache>
                <c:formatCode>0</c:formatCode>
                <c:ptCount val="4"/>
                <c:pt idx="0">
                  <c:v>3635.9300000000003</c:v>
                </c:pt>
                <c:pt idx="1">
                  <c:v>3224.6616666666669</c:v>
                </c:pt>
                <c:pt idx="2">
                  <c:v>5570.2</c:v>
                </c:pt>
                <c:pt idx="3">
                  <c:v>1844.9687250000002</c:v>
                </c:pt>
              </c:numCache>
            </c:numRef>
          </c:val>
          <c:extLst>
            <c:ext xmlns:c16="http://schemas.microsoft.com/office/drawing/2014/chart" uri="{C3380CC4-5D6E-409C-BE32-E72D297353CC}">
              <c16:uniqueId val="{00000010-29E3-4FB0-B2A2-59D2B05824DB}"/>
            </c:ext>
          </c:extLst>
        </c:ser>
        <c:dLbls>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'Podsumowanie inwestycji'!$D$1</c:f>
              <c:strCache>
                <c:ptCount val="1"/>
                <c:pt idx="0">
                  <c:v>Roczna redukcja emisji CO2 do 2020 r.</c:v>
                </c:pt>
              </c:strCache>
            </c:strRef>
          </c:tx>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extLst>
              <c:ext xmlns:c16="http://schemas.microsoft.com/office/drawing/2014/chart" uri="{C3380CC4-5D6E-409C-BE32-E72D297353CC}">
                <c16:uniqueId val="{00000001-29E3-4FB0-B2A2-59D2B05824DB}"/>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extLst>
              <c:ext xmlns:c16="http://schemas.microsoft.com/office/drawing/2014/chart" uri="{C3380CC4-5D6E-409C-BE32-E72D297353CC}">
                <c16:uniqueId val="{00000003-29E3-4FB0-B2A2-59D2B05824DB}"/>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extLst>
              <c:ext xmlns:c16="http://schemas.microsoft.com/office/drawing/2014/chart" uri="{C3380CC4-5D6E-409C-BE32-E72D297353CC}">
                <c16:uniqueId val="{00000002-C6E3-448A-9A23-E813106478B6}"/>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extLst>
              <c:ext xmlns:c16="http://schemas.microsoft.com/office/drawing/2014/chart" uri="{C3380CC4-5D6E-409C-BE32-E72D297353CC}">
                <c16:uniqueId val="{00000007-2C3D-46BD-9739-269D700A79AD}"/>
              </c:ext>
            </c:extLst>
          </c:dPt>
          <c:dLbls>
            <c:dLbl>
              <c:idx val="0"/>
              <c:layout>
                <c:manualLayout>
                  <c:x val="0.16063524305555554"/>
                  <c:y val="5.6882716049382704E-4"/>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29E3-4FB0-B2A2-59D2B05824DB}"/>
                </c:ext>
              </c:extLst>
            </c:dLbl>
            <c:dLbl>
              <c:idx val="1"/>
              <c:layout>
                <c:manualLayout>
                  <c:x val="7.6952256944444464E-2"/>
                  <c:y val="0.19740864197530864"/>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29E3-4FB0-B2A2-59D2B05824DB}"/>
                </c:ext>
              </c:extLst>
            </c:dLbl>
            <c:dLbl>
              <c:idx val="3"/>
              <c:layout>
                <c:manualLayout>
                  <c:x val="-0.17993784722222225"/>
                  <c:y val="4.79629629629629E-4"/>
                </c:manualLayout>
              </c:layout>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2C3D-46BD-9739-269D700A79AD}"/>
                </c:ext>
              </c:extLst>
            </c:dLbl>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pl-PL"/>
              </a:p>
            </c:txPr>
            <c:dLblPos val="ctr"/>
            <c:showLegendKey val="0"/>
            <c:showVal val="0"/>
            <c:showCatName val="1"/>
            <c:showSerName val="0"/>
            <c:showPercent val="1"/>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'Podsumowanie inwestycji'!$A$22:$A$28</c:f>
              <c:strCache>
                <c:ptCount val="4"/>
                <c:pt idx="0">
                  <c:v>Budynki użyteczności publicznej</c:v>
                </c:pt>
                <c:pt idx="1">
                  <c:v>Budynki mieszkalne</c:v>
                </c:pt>
                <c:pt idx="2">
                  <c:v>Przedsiębiorcy</c:v>
                </c:pt>
                <c:pt idx="3">
                  <c:v>Transport</c:v>
                </c:pt>
              </c:strCache>
            </c:strRef>
          </c:cat>
          <c:val>
            <c:numRef>
              <c:f>'Podsumowanie inwestycji'!$D$22:$D$28</c:f>
              <c:numCache>
                <c:formatCode>0</c:formatCode>
                <c:ptCount val="4"/>
                <c:pt idx="0">
                  <c:v>2476.6294320000002</c:v>
                </c:pt>
                <c:pt idx="1">
                  <c:v>1753.6875200000002</c:v>
                </c:pt>
                <c:pt idx="2">
                  <c:v>6056.2780000000002</c:v>
                </c:pt>
                <c:pt idx="3">
                  <c:v>466.15749999999997</c:v>
                </c:pt>
              </c:numCache>
            </c:numRef>
          </c:val>
          <c:extLst>
            <c:ext xmlns:c16="http://schemas.microsoft.com/office/drawing/2014/chart" uri="{C3380CC4-5D6E-409C-BE32-E72D297353CC}">
              <c16:uniqueId val="{00000010-29E3-4FB0-B2A2-59D2B05824DB}"/>
            </c:ext>
          </c:extLst>
        </c:ser>
        <c:dLbls>
          <c:showLegendKey val="0"/>
          <c:showVal val="1"/>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pl-PL"/>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pl-PL"/>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0</xdr:col>
      <xdr:colOff>128866</xdr:colOff>
      <xdr:row>24</xdr:row>
      <xdr:rowOff>169208</xdr:rowOff>
    </xdr:from>
    <xdr:to>
      <xdr:col>5</xdr:col>
      <xdr:colOff>465219</xdr:colOff>
      <xdr:row>41</xdr:row>
      <xdr:rowOff>170708</xdr:rowOff>
    </xdr:to>
    <xdr:graphicFrame macro="">
      <xdr:nvGraphicFramePr>
        <xdr:cNvPr id="3" name="Wykres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952500</xdr:colOff>
      <xdr:row>24</xdr:row>
      <xdr:rowOff>168088</xdr:rowOff>
    </xdr:from>
    <xdr:to>
      <xdr:col>10</xdr:col>
      <xdr:colOff>526853</xdr:colOff>
      <xdr:row>41</xdr:row>
      <xdr:rowOff>169588</xdr:rowOff>
    </xdr:to>
    <xdr:graphicFrame macro="">
      <xdr:nvGraphicFramePr>
        <xdr:cNvPr id="4" name="Wykres 3">
          <a:extLst>
            <a:ext uri="{FF2B5EF4-FFF2-40B4-BE49-F238E27FC236}">
              <a16:creationId xmlns:a16="http://schemas.microsoft.com/office/drawing/2014/main" id="{00000000-0008-0000-01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128866</xdr:colOff>
      <xdr:row>25</xdr:row>
      <xdr:rowOff>169208</xdr:rowOff>
    </xdr:from>
    <xdr:to>
      <xdr:col>4</xdr:col>
      <xdr:colOff>644513</xdr:colOff>
      <xdr:row>42</xdr:row>
      <xdr:rowOff>170708</xdr:rowOff>
    </xdr:to>
    <xdr:graphicFrame macro="">
      <xdr:nvGraphicFramePr>
        <xdr:cNvPr id="2" name="Wykres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952500</xdr:colOff>
      <xdr:row>25</xdr:row>
      <xdr:rowOff>168088</xdr:rowOff>
    </xdr:from>
    <xdr:to>
      <xdr:col>10</xdr:col>
      <xdr:colOff>526853</xdr:colOff>
      <xdr:row>42</xdr:row>
      <xdr:rowOff>169588</xdr:rowOff>
    </xdr:to>
    <xdr:graphicFrame macro="">
      <xdr:nvGraphicFramePr>
        <xdr:cNvPr id="3" name="Wykres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128866</xdr:colOff>
      <xdr:row>25</xdr:row>
      <xdr:rowOff>169208</xdr:rowOff>
    </xdr:from>
    <xdr:to>
      <xdr:col>4</xdr:col>
      <xdr:colOff>577278</xdr:colOff>
      <xdr:row>42</xdr:row>
      <xdr:rowOff>170708</xdr:rowOff>
    </xdr:to>
    <xdr:graphicFrame macro="">
      <xdr:nvGraphicFramePr>
        <xdr:cNvPr id="2" name="Wykres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952500</xdr:colOff>
      <xdr:row>25</xdr:row>
      <xdr:rowOff>168088</xdr:rowOff>
    </xdr:from>
    <xdr:to>
      <xdr:col>10</xdr:col>
      <xdr:colOff>526853</xdr:colOff>
      <xdr:row>42</xdr:row>
      <xdr:rowOff>169588</xdr:rowOff>
    </xdr:to>
    <xdr:graphicFrame macro="">
      <xdr:nvGraphicFramePr>
        <xdr:cNvPr id="3" name="Wykres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36</xdr:row>
      <xdr:rowOff>22411</xdr:rowOff>
    </xdr:from>
    <xdr:to>
      <xdr:col>3</xdr:col>
      <xdr:colOff>1199206</xdr:colOff>
      <xdr:row>53</xdr:row>
      <xdr:rowOff>23911</xdr:rowOff>
    </xdr:to>
    <xdr:graphicFrame macro="">
      <xdr:nvGraphicFramePr>
        <xdr:cNvPr id="2" name="Wykres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55</xdr:row>
      <xdr:rowOff>11205</xdr:rowOff>
    </xdr:from>
    <xdr:to>
      <xdr:col>3</xdr:col>
      <xdr:colOff>1199206</xdr:colOff>
      <xdr:row>72</xdr:row>
      <xdr:rowOff>12705</xdr:rowOff>
    </xdr:to>
    <xdr:graphicFrame macro="">
      <xdr:nvGraphicFramePr>
        <xdr:cNvPr id="3" name="Wykres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11206</xdr:colOff>
      <xdr:row>36</xdr:row>
      <xdr:rowOff>44822</xdr:rowOff>
    </xdr:from>
    <xdr:to>
      <xdr:col>9</xdr:col>
      <xdr:colOff>145853</xdr:colOff>
      <xdr:row>53</xdr:row>
      <xdr:rowOff>46322</xdr:rowOff>
    </xdr:to>
    <xdr:graphicFrame macro="">
      <xdr:nvGraphicFramePr>
        <xdr:cNvPr id="4" name="Wykres 3">
          <a:extLst>
            <a:ext uri="{FF2B5EF4-FFF2-40B4-BE49-F238E27FC236}">
              <a16:creationId xmlns:a16="http://schemas.microsoft.com/office/drawing/2014/main" id="{00000000-0008-0000-06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571499</xdr:colOff>
      <xdr:row>55</xdr:row>
      <xdr:rowOff>78440</xdr:rowOff>
    </xdr:from>
    <xdr:to>
      <xdr:col>9</xdr:col>
      <xdr:colOff>101028</xdr:colOff>
      <xdr:row>72</xdr:row>
      <xdr:rowOff>79940</xdr:rowOff>
    </xdr:to>
    <xdr:graphicFrame macro="">
      <xdr:nvGraphicFramePr>
        <xdr:cNvPr id="5" name="Wykres 4">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8"/>
  <sheetViews>
    <sheetView topLeftCell="A1048576" workbookViewId="0">
      <selection activeCell="D16" sqref="D16"/>
    </sheetView>
  </sheetViews>
  <sheetFormatPr defaultColWidth="0" defaultRowHeight="15" zeroHeight="1" x14ac:dyDescent="0.25"/>
  <cols>
    <col min="1" max="1" width="32.5703125" customWidth="1"/>
    <col min="2" max="5" width="13.85546875" style="1" customWidth="1"/>
    <col min="6" max="16384" width="9.140625" hidden="1"/>
  </cols>
  <sheetData>
    <row r="1" spans="1:5" x14ac:dyDescent="0.25">
      <c r="A1" s="181" t="s">
        <v>26</v>
      </c>
      <c r="B1" s="182" t="s">
        <v>86</v>
      </c>
      <c r="C1" s="182"/>
      <c r="D1" s="182" t="s">
        <v>87</v>
      </c>
      <c r="E1" s="182"/>
    </row>
    <row r="2" spans="1:5" x14ac:dyDescent="0.25">
      <c r="A2" s="181"/>
      <c r="B2" s="66" t="s">
        <v>27</v>
      </c>
      <c r="C2" s="66" t="s">
        <v>28</v>
      </c>
      <c r="D2" s="66" t="s">
        <v>27</v>
      </c>
      <c r="E2" s="66" t="s">
        <v>28</v>
      </c>
    </row>
    <row r="3" spans="1:5" x14ac:dyDescent="0.25">
      <c r="A3" s="67" t="s">
        <v>88</v>
      </c>
      <c r="B3" s="69">
        <v>35.979999999999997</v>
      </c>
      <c r="C3" s="68" t="s">
        <v>89</v>
      </c>
      <c r="D3" s="69">
        <v>55.82</v>
      </c>
      <c r="E3" s="68" t="s">
        <v>90</v>
      </c>
    </row>
    <row r="4" spans="1:5" x14ac:dyDescent="0.25">
      <c r="A4" s="67" t="s">
        <v>91</v>
      </c>
      <c r="B4" s="69">
        <v>24.85</v>
      </c>
      <c r="C4" s="68" t="s">
        <v>89</v>
      </c>
      <c r="D4" s="69">
        <v>55.82</v>
      </c>
      <c r="E4" s="68" t="s">
        <v>90</v>
      </c>
    </row>
    <row r="5" spans="1:5" x14ac:dyDescent="0.25">
      <c r="A5" s="67" t="s">
        <v>92</v>
      </c>
      <c r="B5" s="69">
        <v>17.47</v>
      </c>
      <c r="C5" s="68" t="s">
        <v>89</v>
      </c>
      <c r="D5" s="69">
        <v>55.82</v>
      </c>
      <c r="E5" s="68" t="s">
        <v>90</v>
      </c>
    </row>
    <row r="6" spans="1:5" x14ac:dyDescent="0.25">
      <c r="A6" s="67" t="s">
        <v>93</v>
      </c>
      <c r="B6" s="69">
        <v>15.6</v>
      </c>
      <c r="C6" s="68" t="s">
        <v>94</v>
      </c>
      <c r="D6" s="69">
        <v>109.76</v>
      </c>
      <c r="E6" s="68" t="s">
        <v>90</v>
      </c>
    </row>
    <row r="7" spans="1:5" x14ac:dyDescent="0.25">
      <c r="A7" s="67" t="s">
        <v>95</v>
      </c>
      <c r="B7" s="69">
        <v>50.4</v>
      </c>
      <c r="C7" s="68" t="s">
        <v>94</v>
      </c>
      <c r="D7" s="69">
        <v>54.33</v>
      </c>
      <c r="E7" s="68" t="s">
        <v>90</v>
      </c>
    </row>
    <row r="8" spans="1:5" x14ac:dyDescent="0.25">
      <c r="A8" s="67" t="s">
        <v>96</v>
      </c>
      <c r="B8" s="69">
        <v>28.2</v>
      </c>
      <c r="C8" s="68" t="s">
        <v>94</v>
      </c>
      <c r="D8" s="69">
        <v>106</v>
      </c>
      <c r="E8" s="68" t="s">
        <v>90</v>
      </c>
    </row>
    <row r="9" spans="1:5" x14ac:dyDescent="0.25">
      <c r="A9" s="67" t="s">
        <v>30</v>
      </c>
      <c r="B9" s="69">
        <v>47.31</v>
      </c>
      <c r="C9" s="68" t="s">
        <v>94</v>
      </c>
      <c r="D9" s="69">
        <v>62.44</v>
      </c>
      <c r="E9" s="68" t="s">
        <v>90</v>
      </c>
    </row>
    <row r="10" spans="1:5" x14ac:dyDescent="0.25">
      <c r="A10" s="67" t="s">
        <v>97</v>
      </c>
      <c r="B10" s="69">
        <v>44.8</v>
      </c>
      <c r="C10" s="68" t="s">
        <v>94</v>
      </c>
      <c r="D10" s="69">
        <v>68.61</v>
      </c>
      <c r="E10" s="68" t="s">
        <v>90</v>
      </c>
    </row>
    <row r="11" spans="1:5" x14ac:dyDescent="0.25">
      <c r="A11" s="67" t="s">
        <v>98</v>
      </c>
      <c r="B11" s="69">
        <v>44.59</v>
      </c>
      <c r="C11" s="68" t="s">
        <v>94</v>
      </c>
      <c r="D11" s="69">
        <v>70.790000000000006</v>
      </c>
      <c r="E11" s="68" t="s">
        <v>90</v>
      </c>
    </row>
    <row r="12" spans="1:5" ht="25.5" x14ac:dyDescent="0.25">
      <c r="A12" s="67" t="s">
        <v>99</v>
      </c>
      <c r="B12" s="69">
        <v>43.33</v>
      </c>
      <c r="C12" s="68" t="s">
        <v>94</v>
      </c>
      <c r="D12" s="69">
        <v>73.33</v>
      </c>
      <c r="E12" s="68" t="s">
        <v>90</v>
      </c>
    </row>
    <row r="13" spans="1:5" x14ac:dyDescent="0.25">
      <c r="A13" s="67" t="s">
        <v>31</v>
      </c>
      <c r="B13" s="69">
        <v>40.19</v>
      </c>
      <c r="C13" s="68" t="s">
        <v>94</v>
      </c>
      <c r="D13" s="69">
        <v>76.59</v>
      </c>
      <c r="E13" s="68" t="s">
        <v>90</v>
      </c>
    </row>
    <row r="14" spans="1:5" x14ac:dyDescent="0.25">
      <c r="A14" s="67" t="s">
        <v>75</v>
      </c>
      <c r="B14" s="69">
        <v>23.08</v>
      </c>
      <c r="C14" s="68" t="s">
        <v>94</v>
      </c>
      <c r="D14" s="69">
        <f>94.62</f>
        <v>94.62</v>
      </c>
      <c r="E14" s="68" t="s">
        <v>90</v>
      </c>
    </row>
    <row r="15" spans="1:5" x14ac:dyDescent="0.25">
      <c r="A15" s="67" t="s">
        <v>100</v>
      </c>
      <c r="B15" s="69">
        <v>8.57</v>
      </c>
      <c r="C15" s="68" t="s">
        <v>94</v>
      </c>
      <c r="D15" s="69">
        <v>108.6</v>
      </c>
      <c r="E15" s="68" t="s">
        <v>90</v>
      </c>
    </row>
    <row r="16" spans="1:5" x14ac:dyDescent="0.25">
      <c r="A16" s="67" t="s">
        <v>103</v>
      </c>
      <c r="B16" s="69" t="s">
        <v>13</v>
      </c>
      <c r="C16" s="68" t="s">
        <v>94</v>
      </c>
      <c r="D16" s="69" t="s">
        <v>13</v>
      </c>
      <c r="E16" s="68" t="s">
        <v>90</v>
      </c>
    </row>
    <row r="17" spans="1:5" x14ac:dyDescent="0.25">
      <c r="A17" s="67" t="s">
        <v>34</v>
      </c>
      <c r="B17" s="69">
        <v>1</v>
      </c>
      <c r="C17" s="68"/>
      <c r="D17" s="69">
        <v>765</v>
      </c>
      <c r="E17" s="68" t="s">
        <v>101</v>
      </c>
    </row>
    <row r="18" spans="1:5" hidden="1" x14ac:dyDescent="0.25"/>
  </sheetData>
  <mergeCells count="3">
    <mergeCell ref="A1:A2"/>
    <mergeCell ref="B1:C1"/>
    <mergeCell ref="D1:E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3"/>
  <sheetViews>
    <sheetView topLeftCell="A2" zoomScale="85" zoomScaleNormal="85" workbookViewId="0">
      <selection activeCell="C4" sqref="C4"/>
    </sheetView>
  </sheetViews>
  <sheetFormatPr defaultRowHeight="15" x14ac:dyDescent="0.25"/>
  <cols>
    <col min="1" max="1" width="3.42578125" bestFit="1" customWidth="1"/>
    <col min="2" max="2" width="41.42578125" style="2" customWidth="1"/>
    <col min="3" max="3" width="24" style="2" customWidth="1"/>
    <col min="4" max="4" width="10.7109375" bestFit="1" customWidth="1"/>
    <col min="5" max="5" width="3.42578125" bestFit="1" customWidth="1"/>
    <col min="6" max="6" width="41.42578125" customWidth="1"/>
    <col min="7" max="7" width="24" customWidth="1"/>
  </cols>
  <sheetData>
    <row r="1" spans="1:8" hidden="1" x14ac:dyDescent="0.25">
      <c r="A1" s="3" t="s">
        <v>51</v>
      </c>
      <c r="B1" s="4"/>
      <c r="C1" s="4"/>
      <c r="D1" s="1"/>
      <c r="E1" s="3" t="s">
        <v>50</v>
      </c>
      <c r="F1" s="4"/>
      <c r="G1" s="4"/>
    </row>
    <row r="2" spans="1:8" x14ac:dyDescent="0.25">
      <c r="A2" s="4" t="s">
        <v>32</v>
      </c>
      <c r="B2" s="4" t="s">
        <v>33</v>
      </c>
      <c r="C2" s="4" t="s">
        <v>9</v>
      </c>
      <c r="E2" s="4" t="s">
        <v>32</v>
      </c>
      <c r="F2" s="4" t="s">
        <v>33</v>
      </c>
      <c r="G2" s="4" t="s">
        <v>10</v>
      </c>
    </row>
    <row r="3" spans="1:8" x14ac:dyDescent="0.25">
      <c r="A3" s="5" t="s">
        <v>35</v>
      </c>
      <c r="B3" s="183" t="s">
        <v>36</v>
      </c>
      <c r="C3" s="183"/>
      <c r="E3" s="5" t="s">
        <v>35</v>
      </c>
      <c r="F3" s="183" t="s">
        <v>36</v>
      </c>
      <c r="G3" s="183"/>
    </row>
    <row r="4" spans="1:8" ht="30" customHeight="1" x14ac:dyDescent="0.25">
      <c r="A4" s="6" t="s">
        <v>37</v>
      </c>
      <c r="B4" s="45" t="s">
        <v>38</v>
      </c>
      <c r="C4" s="10">
        <f>'Inwentaryzacja 2013'!S6</f>
        <v>15818</v>
      </c>
      <c r="D4" s="44">
        <f t="shared" ref="D4:D11" si="0">C4/$C$12</f>
        <v>4.6622328983104755E-2</v>
      </c>
      <c r="E4" s="6" t="s">
        <v>37</v>
      </c>
      <c r="F4" s="45" t="s">
        <v>38</v>
      </c>
      <c r="G4" s="10">
        <f>'Inwentaryzacja 2013'!S19</f>
        <v>5590</v>
      </c>
      <c r="H4" s="9">
        <f t="shared" ref="H4:H11" si="1">G4/$G$12</f>
        <v>4.5145450727657445E-2</v>
      </c>
    </row>
    <row r="5" spans="1:8" x14ac:dyDescent="0.25">
      <c r="A5" s="6" t="s">
        <v>39</v>
      </c>
      <c r="B5" s="45" t="s">
        <v>14</v>
      </c>
      <c r="C5" s="10">
        <f>'Inwentaryzacja 2013'!S7</f>
        <v>178289</v>
      </c>
      <c r="D5" s="44">
        <f t="shared" si="0"/>
        <v>0.5254930087285854</v>
      </c>
      <c r="E5" s="6" t="s">
        <v>39</v>
      </c>
      <c r="F5" s="45" t="s">
        <v>14</v>
      </c>
      <c r="G5" s="10">
        <f>'Inwentaryzacja 2013'!S20</f>
        <v>70820</v>
      </c>
      <c r="H5" s="9">
        <f t="shared" si="1"/>
        <v>0.57195005734037574</v>
      </c>
    </row>
    <row r="6" spans="1:8" x14ac:dyDescent="0.25">
      <c r="A6" s="6" t="s">
        <v>40</v>
      </c>
      <c r="B6" s="45" t="s">
        <v>41</v>
      </c>
      <c r="C6" s="10">
        <f>'Inwentaryzacja 2013'!S8</f>
        <v>1711</v>
      </c>
      <c r="D6" s="44">
        <f t="shared" si="0"/>
        <v>5.0430398843148462E-3</v>
      </c>
      <c r="E6" s="6" t="s">
        <v>40</v>
      </c>
      <c r="F6" s="45" t="s">
        <v>41</v>
      </c>
      <c r="G6" s="10">
        <f>'Inwentaryzacja 2013'!S21</f>
        <v>1389</v>
      </c>
      <c r="H6" s="9">
        <f t="shared" si="1"/>
        <v>1.121771575325871E-2</v>
      </c>
    </row>
    <row r="7" spans="1:8" x14ac:dyDescent="0.25">
      <c r="A7" s="6" t="s">
        <v>42</v>
      </c>
      <c r="B7" s="45" t="s">
        <v>43</v>
      </c>
      <c r="C7" s="10">
        <f>'Inwentaryzacja 2013'!S9+'Inwentaryzacja 2013'!S10</f>
        <v>24662</v>
      </c>
      <c r="D7" s="44">
        <f t="shared" si="0"/>
        <v>7.2689333504951922E-2</v>
      </c>
      <c r="E7" s="6" t="s">
        <v>42</v>
      </c>
      <c r="F7" s="45" t="s">
        <v>43</v>
      </c>
      <c r="G7" s="10">
        <f>'Inwentaryzacja 2013'!S22+'Inwentaryzacja 2013'!S23</f>
        <v>16328</v>
      </c>
      <c r="H7" s="9">
        <f t="shared" si="1"/>
        <v>0.13186671189287849</v>
      </c>
    </row>
    <row r="8" spans="1:8" x14ac:dyDescent="0.25">
      <c r="A8" s="8"/>
      <c r="B8" s="46" t="s">
        <v>44</v>
      </c>
      <c r="C8" s="47">
        <f>SUM(C4:C7)</f>
        <v>220480</v>
      </c>
      <c r="D8" s="44">
        <f t="shared" si="0"/>
        <v>0.64984771110095696</v>
      </c>
      <c r="E8" s="8"/>
      <c r="F8" s="46" t="s">
        <v>44</v>
      </c>
      <c r="G8" s="47">
        <f>SUM(G4:G7)</f>
        <v>94127</v>
      </c>
      <c r="H8" s="9">
        <f t="shared" si="1"/>
        <v>0.76017993571417031</v>
      </c>
    </row>
    <row r="9" spans="1:8" x14ac:dyDescent="0.25">
      <c r="A9" s="5" t="s">
        <v>45</v>
      </c>
      <c r="B9" s="184" t="s">
        <v>46</v>
      </c>
      <c r="C9" s="184"/>
      <c r="D9" s="44">
        <f t="shared" si="0"/>
        <v>0</v>
      </c>
      <c r="E9" s="5" t="s">
        <v>45</v>
      </c>
      <c r="F9" s="184" t="s">
        <v>46</v>
      </c>
      <c r="G9" s="184"/>
      <c r="H9" s="9">
        <f t="shared" si="1"/>
        <v>0</v>
      </c>
    </row>
    <row r="10" spans="1:8" x14ac:dyDescent="0.25">
      <c r="A10" s="6" t="s">
        <v>47</v>
      </c>
      <c r="B10" s="45" t="s">
        <v>16</v>
      </c>
      <c r="C10" s="131">
        <f>'Inwentaryzacja 2013'!S12+0.49</f>
        <v>118799.49</v>
      </c>
      <c r="D10" s="44">
        <f t="shared" si="0"/>
        <v>0.3501522888990431</v>
      </c>
      <c r="E10" s="6" t="s">
        <v>47</v>
      </c>
      <c r="F10" s="45" t="s">
        <v>16</v>
      </c>
      <c r="G10" s="10">
        <f>'Inwentaryzacja 2013'!S25</f>
        <v>29695</v>
      </c>
      <c r="H10" s="9">
        <f t="shared" si="1"/>
        <v>0.23982006428582966</v>
      </c>
    </row>
    <row r="11" spans="1:8" x14ac:dyDescent="0.25">
      <c r="A11" s="8"/>
      <c r="B11" s="46" t="s">
        <v>48</v>
      </c>
      <c r="C11" s="132">
        <f>C10</f>
        <v>118799.49</v>
      </c>
      <c r="D11" s="44">
        <f t="shared" si="0"/>
        <v>0.3501522888990431</v>
      </c>
      <c r="E11" s="8"/>
      <c r="F11" s="46" t="s">
        <v>48</v>
      </c>
      <c r="G11" s="47">
        <f>SUM(G10:G10)</f>
        <v>29695</v>
      </c>
      <c r="H11" s="9">
        <f t="shared" si="1"/>
        <v>0.23982006428582966</v>
      </c>
    </row>
    <row r="12" spans="1:8" x14ac:dyDescent="0.25">
      <c r="A12" s="8"/>
      <c r="B12" s="46" t="s">
        <v>24</v>
      </c>
      <c r="C12" s="133">
        <f>C8+C11</f>
        <v>339279.49</v>
      </c>
      <c r="E12" s="8"/>
      <c r="F12" s="46" t="s">
        <v>24</v>
      </c>
      <c r="G12" s="46">
        <f>G8+G11</f>
        <v>123822</v>
      </c>
    </row>
    <row r="13" spans="1:8" x14ac:dyDescent="0.25">
      <c r="C13" s="2" t="b">
        <f>C12='Inwentaryzacja 2013'!S13</f>
        <v>0</v>
      </c>
    </row>
    <row r="17" spans="2:7" x14ac:dyDescent="0.25">
      <c r="B17" s="1"/>
      <c r="C17" s="1"/>
    </row>
    <row r="18" spans="2:7" x14ac:dyDescent="0.25">
      <c r="B18" s="1" t="str">
        <f>B4</f>
        <v>Budynki, wyposażenie/ urządzenia komunalne</v>
      </c>
      <c r="C18" s="1">
        <f>C4</f>
        <v>15818</v>
      </c>
      <c r="F18" s="1" t="str">
        <f>F4</f>
        <v>Budynki, wyposażenie/ urządzenia komunalne</v>
      </c>
      <c r="G18" s="1">
        <f>G4</f>
        <v>5590</v>
      </c>
    </row>
    <row r="19" spans="2:7" x14ac:dyDescent="0.25">
      <c r="B19" s="1" t="str">
        <f t="shared" ref="B19:C21" si="2">B5</f>
        <v>Budynki mieszkalne</v>
      </c>
      <c r="C19" s="1">
        <f t="shared" si="2"/>
        <v>178289</v>
      </c>
      <c r="F19" s="1" t="str">
        <f t="shared" ref="F19:G21" si="3">F5</f>
        <v>Budynki mieszkalne</v>
      </c>
      <c r="G19" s="1">
        <f t="shared" si="3"/>
        <v>70820</v>
      </c>
    </row>
    <row r="20" spans="2:7" x14ac:dyDescent="0.25">
      <c r="B20" s="1" t="str">
        <f t="shared" si="2"/>
        <v>Komunalne oświetlenie uliczne</v>
      </c>
      <c r="C20" s="1">
        <f t="shared" si="2"/>
        <v>1711</v>
      </c>
      <c r="F20" s="1" t="str">
        <f t="shared" si="3"/>
        <v>Komunalne oświetlenie uliczne</v>
      </c>
      <c r="G20" s="1">
        <f t="shared" si="3"/>
        <v>1389</v>
      </c>
    </row>
    <row r="21" spans="2:7" x14ac:dyDescent="0.25">
      <c r="B21" s="1" t="str">
        <f t="shared" si="2"/>
        <v>Przedsiębiorstwa</v>
      </c>
      <c r="C21" s="1">
        <f t="shared" si="2"/>
        <v>24662</v>
      </c>
      <c r="F21" s="1" t="str">
        <f t="shared" si="3"/>
        <v>Przedsiębiorstwa</v>
      </c>
      <c r="G21" s="1">
        <f t="shared" si="3"/>
        <v>16328</v>
      </c>
    </row>
    <row r="22" spans="2:7" x14ac:dyDescent="0.25">
      <c r="B22" s="1" t="str">
        <f>B10</f>
        <v>Transport</v>
      </c>
      <c r="C22" s="1">
        <f>C10</f>
        <v>118799.49</v>
      </c>
      <c r="F22" s="1" t="str">
        <f>F10</f>
        <v>Transport</v>
      </c>
      <c r="G22" s="1">
        <f>G10</f>
        <v>29695</v>
      </c>
    </row>
    <row r="23" spans="2:7" hidden="1" x14ac:dyDescent="0.25">
      <c r="B23" s="1" t="e">
        <f>#REF!</f>
        <v>#REF!</v>
      </c>
      <c r="C23" s="1" t="e">
        <f>#REF!</f>
        <v>#REF!</v>
      </c>
      <c r="F23" s="1" t="e">
        <f>#REF!</f>
        <v>#REF!</v>
      </c>
      <c r="G23" s="1" t="e">
        <f>#REF!</f>
        <v>#REF!</v>
      </c>
    </row>
  </sheetData>
  <mergeCells count="4">
    <mergeCell ref="F3:G3"/>
    <mergeCell ref="F9:G9"/>
    <mergeCell ref="B3:C3"/>
    <mergeCell ref="B9:C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4"/>
  <sheetViews>
    <sheetView tabSelected="1" topLeftCell="A2" zoomScale="85" zoomScaleNormal="85" workbookViewId="0">
      <selection activeCell="C4" sqref="C4"/>
    </sheetView>
  </sheetViews>
  <sheetFormatPr defaultRowHeight="15" x14ac:dyDescent="0.25"/>
  <cols>
    <col min="1" max="1" width="3.42578125" bestFit="1" customWidth="1"/>
    <col min="2" max="2" width="41.42578125" style="2" customWidth="1"/>
    <col min="3" max="3" width="24" style="2" customWidth="1"/>
    <col min="4" max="4" width="9.7109375" bestFit="1" customWidth="1"/>
    <col min="5" max="5" width="13.85546875" customWidth="1"/>
    <col min="6" max="6" width="41.42578125" customWidth="1"/>
    <col min="7" max="7" width="24" customWidth="1"/>
    <col min="8" max="9" width="9.7109375" bestFit="1" customWidth="1"/>
    <col min="10" max="10" width="9.7109375" customWidth="1"/>
    <col min="12" max="14" width="20.85546875" style="2" customWidth="1"/>
    <col min="15" max="15" width="24" customWidth="1"/>
    <col min="16" max="16" width="22.28515625" customWidth="1"/>
  </cols>
  <sheetData>
    <row r="1" spans="1:14" hidden="1" x14ac:dyDescent="0.25">
      <c r="A1" s="3" t="s">
        <v>51</v>
      </c>
      <c r="B1" s="4"/>
      <c r="C1" s="4"/>
      <c r="D1" s="1"/>
      <c r="E1" s="3" t="s">
        <v>50</v>
      </c>
      <c r="F1" s="4"/>
      <c r="G1" s="4"/>
    </row>
    <row r="2" spans="1:14" x14ac:dyDescent="0.25">
      <c r="A2" s="48" t="s">
        <v>32</v>
      </c>
      <c r="B2" s="48" t="s">
        <v>33</v>
      </c>
      <c r="C2" s="48" t="s">
        <v>9</v>
      </c>
      <c r="E2" s="48" t="s">
        <v>32</v>
      </c>
      <c r="F2" s="48" t="s">
        <v>33</v>
      </c>
      <c r="G2" s="48" t="s">
        <v>10</v>
      </c>
      <c r="L2"/>
      <c r="M2"/>
      <c r="N2"/>
    </row>
    <row r="3" spans="1:14" x14ac:dyDescent="0.25">
      <c r="A3" s="49" t="s">
        <v>35</v>
      </c>
      <c r="B3" s="184" t="s">
        <v>36</v>
      </c>
      <c r="C3" s="184"/>
      <c r="E3" s="49" t="s">
        <v>35</v>
      </c>
      <c r="F3" s="184" t="s">
        <v>36</v>
      </c>
      <c r="G3" s="184"/>
      <c r="L3"/>
      <c r="M3"/>
      <c r="N3"/>
    </row>
    <row r="4" spans="1:14" x14ac:dyDescent="0.25">
      <c r="A4" s="10" t="s">
        <v>37</v>
      </c>
      <c r="B4" s="45" t="s">
        <v>38</v>
      </c>
      <c r="C4" s="131">
        <f>'2013'!C4-Planowane!$H$3</f>
        <v>13174.63</v>
      </c>
      <c r="E4" s="10" t="s">
        <v>37</v>
      </c>
      <c r="F4" s="45" t="s">
        <v>38</v>
      </c>
      <c r="G4" s="131">
        <f>'2013'!G4-Planowane!$J$3</f>
        <v>4087.5105679999997</v>
      </c>
      <c r="H4" s="9">
        <f t="shared" ref="H4:H11" si="0">G4/$G$12</f>
        <v>1.6366181028103111E-2</v>
      </c>
      <c r="J4" s="9">
        <f>'2020'!C4/'2013'!C4-1</f>
        <v>-0.1671115185232015</v>
      </c>
      <c r="L4"/>
      <c r="M4"/>
      <c r="N4"/>
    </row>
    <row r="5" spans="1:14" x14ac:dyDescent="0.25">
      <c r="A5" s="10" t="s">
        <v>39</v>
      </c>
      <c r="B5" s="45" t="s">
        <v>14</v>
      </c>
      <c r="C5" s="131">
        <f>'Inwentaryzacja 2013'!$Q$34</f>
        <v>224191</v>
      </c>
      <c r="E5" s="10" t="s">
        <v>39</v>
      </c>
      <c r="F5" s="45" t="s">
        <v>14</v>
      </c>
      <c r="G5" s="131">
        <f>'Inwentaryzacja 2013'!$Q$36</f>
        <v>82156</v>
      </c>
      <c r="H5" s="9">
        <f t="shared" si="0"/>
        <v>0.32894837730113469</v>
      </c>
      <c r="J5" s="9">
        <f>'2020'!C5/'2013'!C5-1</f>
        <v>0.25745839619942901</v>
      </c>
      <c r="L5"/>
      <c r="M5"/>
      <c r="N5"/>
    </row>
    <row r="6" spans="1:14" x14ac:dyDescent="0.25">
      <c r="A6" s="10" t="s">
        <v>40</v>
      </c>
      <c r="B6" s="45" t="s">
        <v>41</v>
      </c>
      <c r="C6" s="131">
        <f>'2013'!C6</f>
        <v>1711</v>
      </c>
      <c r="E6" s="10" t="s">
        <v>40</v>
      </c>
      <c r="F6" s="45" t="s">
        <v>41</v>
      </c>
      <c r="G6" s="131">
        <f>C6*Wskaźniki!D17/1000</f>
        <v>1308.915</v>
      </c>
      <c r="H6" s="9">
        <f t="shared" si="0"/>
        <v>5.2408280013037968E-3</v>
      </c>
      <c r="J6" s="9">
        <f>'2020'!C6/'2013'!C6-1</f>
        <v>0</v>
      </c>
      <c r="L6"/>
      <c r="M6"/>
      <c r="N6"/>
    </row>
    <row r="7" spans="1:14" x14ac:dyDescent="0.25">
      <c r="A7" s="10" t="s">
        <v>42</v>
      </c>
      <c r="B7" s="45" t="s">
        <v>43</v>
      </c>
      <c r="C7" s="131">
        <f>'Inwentaryzacja 2013'!$H$37</f>
        <v>193582.61111111112</v>
      </c>
      <c r="E7" s="10" t="s">
        <v>42</v>
      </c>
      <c r="F7" s="45" t="s">
        <v>43</v>
      </c>
      <c r="G7" s="131">
        <f>'Inwentaryzacja 2013'!$H$39</f>
        <v>145165.67499999999</v>
      </c>
      <c r="H7" s="9">
        <f t="shared" si="0"/>
        <v>0.5812358589886788</v>
      </c>
      <c r="J7" s="9">
        <f>'2020'!C7/'2013'!C7-1</f>
        <v>6.8494287207489712</v>
      </c>
      <c r="L7"/>
      <c r="M7"/>
      <c r="N7"/>
    </row>
    <row r="8" spans="1:14" x14ac:dyDescent="0.25">
      <c r="A8" s="46"/>
      <c r="B8" s="46" t="s">
        <v>44</v>
      </c>
      <c r="C8" s="132">
        <f>SUM(C4:C7)</f>
        <v>432659.24111111113</v>
      </c>
      <c r="E8" s="46"/>
      <c r="F8" s="46" t="s">
        <v>44</v>
      </c>
      <c r="G8" s="132">
        <f>SUM(G4:G7)</f>
        <v>232718.10056799999</v>
      </c>
      <c r="H8" s="9">
        <f t="shared" si="0"/>
        <v>0.93179124531922042</v>
      </c>
      <c r="J8" s="9"/>
      <c r="L8"/>
      <c r="M8"/>
      <c r="N8"/>
    </row>
    <row r="9" spans="1:14" x14ac:dyDescent="0.25">
      <c r="A9" s="49" t="s">
        <v>45</v>
      </c>
      <c r="B9" s="184" t="s">
        <v>46</v>
      </c>
      <c r="C9" s="184"/>
      <c r="E9" s="49" t="s">
        <v>45</v>
      </c>
      <c r="F9" s="184" t="s">
        <v>46</v>
      </c>
      <c r="G9" s="184"/>
      <c r="H9" s="9">
        <f t="shared" si="0"/>
        <v>0</v>
      </c>
      <c r="J9" s="9"/>
      <c r="L9"/>
      <c r="M9"/>
      <c r="N9"/>
    </row>
    <row r="10" spans="1:14" x14ac:dyDescent="0.25">
      <c r="A10" s="10" t="s">
        <v>47</v>
      </c>
      <c r="B10" s="45" t="s">
        <v>16</v>
      </c>
      <c r="C10" s="131">
        <f>SUM('Inwentaryzacja 2020'!B16:D16)</f>
        <v>56692.884603216822</v>
      </c>
      <c r="E10" s="10" t="s">
        <v>47</v>
      </c>
      <c r="F10" s="45" t="s">
        <v>16</v>
      </c>
      <c r="G10" s="163">
        <f>'Inwentaryzacja 2020'!G11+'Inwentaryzacja 2020'!H11</f>
        <v>17034.873439231731</v>
      </c>
      <c r="H10" s="9">
        <f t="shared" si="0"/>
        <v>6.8206752706624921E-2</v>
      </c>
      <c r="J10" s="9">
        <f>'2020'!C10/'2013'!C10-1</f>
        <v>-0.52278511798984306</v>
      </c>
    </row>
    <row r="11" spans="1:14" x14ac:dyDescent="0.25">
      <c r="A11" s="46"/>
      <c r="B11" s="46" t="s">
        <v>48</v>
      </c>
      <c r="C11" s="132">
        <f>C10</f>
        <v>56692.884603216822</v>
      </c>
      <c r="E11" s="46"/>
      <c r="F11" s="46" t="s">
        <v>48</v>
      </c>
      <c r="G11" s="132">
        <f>SUM(G10:G10)</f>
        <v>17034.873439231731</v>
      </c>
      <c r="H11" s="9">
        <f t="shared" si="0"/>
        <v>6.8206752706624921E-2</v>
      </c>
      <c r="J11" s="9"/>
    </row>
    <row r="12" spans="1:14" x14ac:dyDescent="0.25">
      <c r="A12" s="46"/>
      <c r="B12" s="46" t="s">
        <v>24</v>
      </c>
      <c r="C12" s="133">
        <f>C8+C11</f>
        <v>489352.12571432797</v>
      </c>
      <c r="E12" s="46"/>
      <c r="F12" s="46" t="s">
        <v>24</v>
      </c>
      <c r="G12" s="133">
        <f>G8+G11+0.5</f>
        <v>249753.47400723174</v>
      </c>
    </row>
    <row r="13" spans="1:14" x14ac:dyDescent="0.25">
      <c r="C13" s="2">
        <f>C12*3.6</f>
        <v>1761667.6525715806</v>
      </c>
    </row>
    <row r="17" spans="2:7" x14ac:dyDescent="0.25">
      <c r="B17" s="1"/>
      <c r="C17" s="1"/>
    </row>
    <row r="18" spans="2:7" x14ac:dyDescent="0.25">
      <c r="B18" s="1" t="str">
        <f>B4</f>
        <v>Budynki, wyposażenie/ urządzenia komunalne</v>
      </c>
      <c r="C18" s="1">
        <f>C4</f>
        <v>13174.63</v>
      </c>
      <c r="F18" s="1" t="str">
        <f>F4</f>
        <v>Budynki, wyposażenie/ urządzenia komunalne</v>
      </c>
      <c r="G18" s="1">
        <f>G4</f>
        <v>4087.5105679999997</v>
      </c>
    </row>
    <row r="19" spans="2:7" hidden="1" x14ac:dyDescent="0.25">
      <c r="B19" s="1" t="e">
        <f>#REF!</f>
        <v>#REF!</v>
      </c>
      <c r="C19" s="1" t="e">
        <f>#REF!</f>
        <v>#REF!</v>
      </c>
      <c r="F19" s="1" t="e">
        <f>#REF!</f>
        <v>#REF!</v>
      </c>
      <c r="G19" s="1" t="e">
        <f>#REF!</f>
        <v>#REF!</v>
      </c>
    </row>
    <row r="20" spans="2:7" x14ac:dyDescent="0.25">
      <c r="B20" s="1" t="str">
        <f t="shared" ref="B20:C22" si="1">B5</f>
        <v>Budynki mieszkalne</v>
      </c>
      <c r="C20" s="1">
        <f t="shared" si="1"/>
        <v>224191</v>
      </c>
      <c r="F20" s="1" t="str">
        <f t="shared" ref="F20:G22" si="2">F5</f>
        <v>Budynki mieszkalne</v>
      </c>
      <c r="G20" s="1">
        <f t="shared" si="2"/>
        <v>82156</v>
      </c>
    </row>
    <row r="21" spans="2:7" x14ac:dyDescent="0.25">
      <c r="B21" s="1" t="str">
        <f t="shared" si="1"/>
        <v>Komunalne oświetlenie uliczne</v>
      </c>
      <c r="C21" s="1">
        <f t="shared" si="1"/>
        <v>1711</v>
      </c>
      <c r="F21" s="1" t="str">
        <f t="shared" si="2"/>
        <v>Komunalne oświetlenie uliczne</v>
      </c>
      <c r="G21" s="1">
        <f t="shared" si="2"/>
        <v>1308.915</v>
      </c>
    </row>
    <row r="22" spans="2:7" x14ac:dyDescent="0.25">
      <c r="B22" s="1" t="str">
        <f t="shared" si="1"/>
        <v>Przedsiębiorstwa</v>
      </c>
      <c r="C22" s="1">
        <f t="shared" si="1"/>
        <v>193582.61111111112</v>
      </c>
      <c r="F22" s="1" t="str">
        <f t="shared" si="2"/>
        <v>Przedsiębiorstwa</v>
      </c>
      <c r="G22" s="1">
        <f t="shared" si="2"/>
        <v>145165.67499999999</v>
      </c>
    </row>
    <row r="23" spans="2:7" x14ac:dyDescent="0.25">
      <c r="B23" s="1" t="str">
        <f>B10</f>
        <v>Transport</v>
      </c>
      <c r="C23" s="1">
        <f>C10</f>
        <v>56692.884603216822</v>
      </c>
      <c r="F23" s="1" t="str">
        <f>F10</f>
        <v>Transport</v>
      </c>
      <c r="G23" s="1">
        <f>G10</f>
        <v>17034.873439231731</v>
      </c>
    </row>
    <row r="24" spans="2:7" hidden="1" x14ac:dyDescent="0.25">
      <c r="B24" s="1" t="e">
        <f>#REF!</f>
        <v>#REF!</v>
      </c>
      <c r="C24" s="1" t="e">
        <f>#REF!</f>
        <v>#REF!</v>
      </c>
      <c r="F24" s="1" t="e">
        <f>#REF!</f>
        <v>#REF!</v>
      </c>
      <c r="G24" s="1" t="e">
        <f>#REF!</f>
        <v>#REF!</v>
      </c>
    </row>
  </sheetData>
  <mergeCells count="4">
    <mergeCell ref="B3:C3"/>
    <mergeCell ref="F3:G3"/>
    <mergeCell ref="B9:C9"/>
    <mergeCell ref="F9:G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69"/>
  <sheetViews>
    <sheetView topLeftCell="A41" zoomScale="85" zoomScaleNormal="85" workbookViewId="0">
      <selection activeCell="G71" sqref="G71"/>
    </sheetView>
  </sheetViews>
  <sheetFormatPr defaultRowHeight="15" x14ac:dyDescent="0.25"/>
  <cols>
    <col min="1" max="1" width="3.42578125" bestFit="1" customWidth="1"/>
    <col min="2" max="2" width="41.42578125" style="2" customWidth="1"/>
    <col min="3" max="3" width="24" style="2" customWidth="1"/>
    <col min="4" max="4" width="10.7109375" bestFit="1" customWidth="1"/>
    <col min="5" max="5" width="11.140625" customWidth="1"/>
    <col min="6" max="6" width="41.42578125" customWidth="1"/>
    <col min="7" max="7" width="24" customWidth="1"/>
    <col min="11" max="11" width="11.7109375" bestFit="1" customWidth="1"/>
    <col min="15" max="15" width="28.140625" style="2" customWidth="1"/>
    <col min="16" max="16" width="13.7109375" customWidth="1"/>
    <col min="18" max="18" width="12.7109375" bestFit="1" customWidth="1"/>
  </cols>
  <sheetData>
    <row r="1" spans="1:15" hidden="1" x14ac:dyDescent="0.25">
      <c r="A1" s="3" t="s">
        <v>51</v>
      </c>
      <c r="B1" s="4"/>
      <c r="C1" s="4"/>
      <c r="D1" s="1"/>
      <c r="E1" s="3" t="s">
        <v>50</v>
      </c>
      <c r="F1" s="4"/>
      <c r="G1" s="4"/>
      <c r="O1"/>
    </row>
    <row r="2" spans="1:15" x14ac:dyDescent="0.25">
      <c r="A2" s="46" t="s">
        <v>32</v>
      </c>
      <c r="B2" s="46" t="s">
        <v>33</v>
      </c>
      <c r="C2" s="46" t="s">
        <v>9</v>
      </c>
      <c r="E2" s="46" t="s">
        <v>32</v>
      </c>
      <c r="F2" s="46" t="s">
        <v>33</v>
      </c>
      <c r="G2" s="46" t="s">
        <v>10</v>
      </c>
      <c r="O2"/>
    </row>
    <row r="3" spans="1:15" x14ac:dyDescent="0.25">
      <c r="A3" s="5" t="s">
        <v>35</v>
      </c>
      <c r="B3" s="183" t="s">
        <v>36</v>
      </c>
      <c r="C3" s="183"/>
      <c r="E3" s="5" t="s">
        <v>35</v>
      </c>
      <c r="F3" s="183" t="s">
        <v>36</v>
      </c>
      <c r="G3" s="183"/>
      <c r="O3"/>
    </row>
    <row r="4" spans="1:15" x14ac:dyDescent="0.25">
      <c r="A4" s="6" t="s">
        <v>37</v>
      </c>
      <c r="B4" s="45" t="s">
        <v>38</v>
      </c>
      <c r="C4" s="131">
        <f>J48</f>
        <v>12825.769999999999</v>
      </c>
      <c r="E4" s="6" t="s">
        <v>37</v>
      </c>
      <c r="F4" s="7" t="s">
        <v>38</v>
      </c>
      <c r="G4" s="27">
        <f>J61</f>
        <v>2388</v>
      </c>
      <c r="H4" s="9">
        <f t="shared" ref="H4:H11" si="0">G4/$G$12</f>
        <v>9.5966171249859712E-3</v>
      </c>
      <c r="O4"/>
    </row>
    <row r="5" spans="1:15" x14ac:dyDescent="0.25">
      <c r="A5" s="6" t="s">
        <v>39</v>
      </c>
      <c r="B5" s="45" t="s">
        <v>14</v>
      </c>
      <c r="C5" s="131">
        <f t="shared" ref="C5:C7" si="1">J49</f>
        <v>226477.77454469437</v>
      </c>
      <c r="E5" s="6" t="s">
        <v>39</v>
      </c>
      <c r="F5" s="7" t="s">
        <v>14</v>
      </c>
      <c r="G5" s="27">
        <f t="shared" ref="G5:G7" si="2">J62</f>
        <v>83039.970184824298</v>
      </c>
      <c r="H5" s="9">
        <f t="shared" si="0"/>
        <v>0.33371139025712282</v>
      </c>
      <c r="O5"/>
    </row>
    <row r="6" spans="1:15" x14ac:dyDescent="0.25">
      <c r="A6" s="6" t="s">
        <v>40</v>
      </c>
      <c r="B6" s="45" t="s">
        <v>41</v>
      </c>
      <c r="C6" s="131">
        <f t="shared" si="1"/>
        <v>1711</v>
      </c>
      <c r="E6" s="6" t="s">
        <v>40</v>
      </c>
      <c r="F6" s="7" t="s">
        <v>41</v>
      </c>
      <c r="G6" s="27">
        <f t="shared" si="2"/>
        <v>1312</v>
      </c>
      <c r="H6" s="9">
        <f t="shared" si="0"/>
        <v>5.272513261298825E-3</v>
      </c>
      <c r="O6"/>
    </row>
    <row r="7" spans="1:15" x14ac:dyDescent="0.25">
      <c r="A7" s="6" t="s">
        <v>42</v>
      </c>
      <c r="B7" s="45" t="s">
        <v>43</v>
      </c>
      <c r="C7" s="131">
        <f t="shared" si="1"/>
        <v>193583</v>
      </c>
      <c r="E7" s="6" t="s">
        <v>42</v>
      </c>
      <c r="F7" s="7" t="s">
        <v>43</v>
      </c>
      <c r="G7" s="27">
        <f t="shared" si="2"/>
        <v>145529</v>
      </c>
      <c r="H7" s="9">
        <f t="shared" si="0"/>
        <v>0.58483504756368654</v>
      </c>
      <c r="O7"/>
    </row>
    <row r="8" spans="1:15" x14ac:dyDescent="0.25">
      <c r="A8" s="8"/>
      <c r="B8" s="46" t="s">
        <v>44</v>
      </c>
      <c r="C8" s="132">
        <f>SUM(C4:C7)</f>
        <v>434597.54454469436</v>
      </c>
      <c r="E8" s="8"/>
      <c r="F8" s="8" t="s">
        <v>44</v>
      </c>
      <c r="G8" s="28">
        <f>SUM(G4:G7)</f>
        <v>232268.97018482431</v>
      </c>
      <c r="H8" s="9">
        <f t="shared" si="0"/>
        <v>0.93341556820709415</v>
      </c>
      <c r="O8"/>
    </row>
    <row r="9" spans="1:15" x14ac:dyDescent="0.25">
      <c r="A9" s="5" t="s">
        <v>45</v>
      </c>
      <c r="B9" s="184" t="s">
        <v>46</v>
      </c>
      <c r="C9" s="184"/>
      <c r="E9" s="5" t="s">
        <v>45</v>
      </c>
      <c r="F9" s="183" t="s">
        <v>46</v>
      </c>
      <c r="G9" s="183"/>
      <c r="H9" s="9">
        <f t="shared" si="0"/>
        <v>0</v>
      </c>
      <c r="O9"/>
    </row>
    <row r="10" spans="1:15" x14ac:dyDescent="0.25">
      <c r="A10" s="6" t="s">
        <v>47</v>
      </c>
      <c r="B10" s="45" t="s">
        <v>16</v>
      </c>
      <c r="C10" s="131">
        <f>J54</f>
        <v>57692.482106424701</v>
      </c>
      <c r="E10" s="59" t="s">
        <v>47</v>
      </c>
      <c r="F10" s="60" t="s">
        <v>16</v>
      </c>
      <c r="G10" s="27">
        <f t="shared" ref="G10" si="3">J67</f>
        <v>16568.715939231719</v>
      </c>
      <c r="H10" s="9">
        <f t="shared" si="0"/>
        <v>6.6584431792905838E-2</v>
      </c>
      <c r="O10"/>
    </row>
    <row r="11" spans="1:15" x14ac:dyDescent="0.25">
      <c r="A11" s="8"/>
      <c r="B11" s="46" t="s">
        <v>48</v>
      </c>
      <c r="C11" s="132">
        <f>SUM(C10:C10)</f>
        <v>57692.482106424701</v>
      </c>
      <c r="E11" s="8"/>
      <c r="F11" s="8" t="s">
        <v>48</v>
      </c>
      <c r="G11" s="28">
        <f>SUM(G10:G10)</f>
        <v>16568.715939231719</v>
      </c>
      <c r="H11" s="9">
        <f t="shared" si="0"/>
        <v>6.6584431792905838E-2</v>
      </c>
      <c r="O11"/>
    </row>
    <row r="12" spans="1:15" x14ac:dyDescent="0.25">
      <c r="A12" s="8"/>
      <c r="B12" s="8" t="s">
        <v>24</v>
      </c>
      <c r="C12" s="133">
        <f>C8+C11</f>
        <v>492290.02665111906</v>
      </c>
      <c r="E12" s="8"/>
      <c r="F12" s="8" t="s">
        <v>24</v>
      </c>
      <c r="G12" s="29">
        <f>G8+G11</f>
        <v>248837.68612405602</v>
      </c>
      <c r="O12"/>
    </row>
    <row r="13" spans="1:15" x14ac:dyDescent="0.25">
      <c r="O13"/>
    </row>
    <row r="14" spans="1:15" x14ac:dyDescent="0.25">
      <c r="O14"/>
    </row>
    <row r="15" spans="1:15" x14ac:dyDescent="0.25">
      <c r="O15"/>
    </row>
    <row r="16" spans="1:15" x14ac:dyDescent="0.25">
      <c r="O16"/>
    </row>
    <row r="17" spans="2:15" x14ac:dyDescent="0.25">
      <c r="B17" s="1"/>
      <c r="C17" s="1"/>
      <c r="O17"/>
    </row>
    <row r="18" spans="2:15" x14ac:dyDescent="0.25">
      <c r="B18" s="1" t="str">
        <f>B4</f>
        <v>Budynki, wyposażenie/ urządzenia komunalne</v>
      </c>
      <c r="C18" s="1">
        <f>C4</f>
        <v>12825.769999999999</v>
      </c>
      <c r="F18" s="1" t="str">
        <f>F4</f>
        <v>Budynki, wyposażenie/ urządzenia komunalne</v>
      </c>
      <c r="G18" s="1">
        <f>G4</f>
        <v>2388</v>
      </c>
    </row>
    <row r="19" spans="2:15" hidden="1" x14ac:dyDescent="0.25">
      <c r="B19" s="1" t="e">
        <f>#REF!</f>
        <v>#REF!</v>
      </c>
      <c r="C19" s="1" t="e">
        <f>#REF!</f>
        <v>#REF!</v>
      </c>
      <c r="F19" s="1" t="e">
        <f>#REF!</f>
        <v>#REF!</v>
      </c>
      <c r="G19" s="1" t="e">
        <f>#REF!</f>
        <v>#REF!</v>
      </c>
    </row>
    <row r="20" spans="2:15" x14ac:dyDescent="0.25">
      <c r="B20" s="1" t="str">
        <f t="shared" ref="B20:C22" si="4">B5</f>
        <v>Budynki mieszkalne</v>
      </c>
      <c r="C20" s="1">
        <f t="shared" si="4"/>
        <v>226477.77454469437</v>
      </c>
      <c r="F20" s="1" t="str">
        <f t="shared" ref="F20:G22" si="5">F5</f>
        <v>Budynki mieszkalne</v>
      </c>
      <c r="G20" s="1">
        <f t="shared" si="5"/>
        <v>83039.970184824298</v>
      </c>
    </row>
    <row r="21" spans="2:15" x14ac:dyDescent="0.25">
      <c r="B21" s="1" t="str">
        <f t="shared" si="4"/>
        <v>Komunalne oświetlenie uliczne</v>
      </c>
      <c r="C21" s="1">
        <f t="shared" si="4"/>
        <v>1711</v>
      </c>
      <c r="F21" s="1" t="str">
        <f t="shared" si="5"/>
        <v>Komunalne oświetlenie uliczne</v>
      </c>
      <c r="G21" s="1">
        <f t="shared" si="5"/>
        <v>1312</v>
      </c>
    </row>
    <row r="22" spans="2:15" x14ac:dyDescent="0.25">
      <c r="B22" s="1" t="str">
        <f t="shared" si="4"/>
        <v>Przedsiębiorstwa</v>
      </c>
      <c r="C22" s="1">
        <f t="shared" si="4"/>
        <v>193583</v>
      </c>
      <c r="F22" s="1" t="str">
        <f t="shared" si="5"/>
        <v>Przedsiębiorstwa</v>
      </c>
      <c r="G22" s="1">
        <f t="shared" si="5"/>
        <v>145529</v>
      </c>
    </row>
    <row r="23" spans="2:15" x14ac:dyDescent="0.25">
      <c r="B23" s="1" t="str">
        <f>B10</f>
        <v>Transport</v>
      </c>
      <c r="C23" s="1">
        <f>C10</f>
        <v>57692.482106424701</v>
      </c>
      <c r="F23" s="1" t="str">
        <f>F10</f>
        <v>Transport</v>
      </c>
      <c r="G23" s="1">
        <f>G10</f>
        <v>16568.715939231719</v>
      </c>
    </row>
    <row r="24" spans="2:15" hidden="1" x14ac:dyDescent="0.25">
      <c r="B24" s="1" t="e">
        <f>#REF!</f>
        <v>#REF!</v>
      </c>
      <c r="C24" s="1" t="e">
        <f>#REF!</f>
        <v>#REF!</v>
      </c>
      <c r="F24" s="1" t="e">
        <f>#REF!</f>
        <v>#REF!</v>
      </c>
      <c r="G24" s="1" t="e">
        <f>#REF!</f>
        <v>#REF!</v>
      </c>
    </row>
    <row r="40" spans="1:16" x14ac:dyDescent="0.25">
      <c r="O40" s="70">
        <f>543/382-1</f>
        <v>0.42146596858638752</v>
      </c>
    </row>
    <row r="44" spans="1:16" ht="15.75" thickBot="1" x14ac:dyDescent="0.3"/>
    <row r="45" spans="1:16" ht="38.25" x14ac:dyDescent="0.25">
      <c r="A45" s="3" t="s">
        <v>51</v>
      </c>
      <c r="B45" s="4"/>
      <c r="C45" s="4"/>
      <c r="D45" s="8"/>
      <c r="E45" s="8"/>
      <c r="F45" s="8"/>
      <c r="G45" s="8"/>
      <c r="H45" s="8"/>
      <c r="I45" s="8"/>
      <c r="J45" s="8"/>
      <c r="N45" s="186" t="s">
        <v>52</v>
      </c>
      <c r="O45" s="186" t="s">
        <v>53</v>
      </c>
      <c r="P45" s="11" t="s">
        <v>60</v>
      </c>
    </row>
    <row r="46" spans="1:16" ht="15.75" thickBot="1" x14ac:dyDescent="0.3">
      <c r="A46" s="4" t="s">
        <v>32</v>
      </c>
      <c r="B46" s="4" t="s">
        <v>33</v>
      </c>
      <c r="C46" s="4">
        <v>2020</v>
      </c>
      <c r="D46" s="8">
        <f t="shared" ref="D46:J46" si="6">C46+1</f>
        <v>2021</v>
      </c>
      <c r="E46" s="8">
        <f t="shared" si="6"/>
        <v>2022</v>
      </c>
      <c r="F46" s="8">
        <f t="shared" si="6"/>
        <v>2023</v>
      </c>
      <c r="G46" s="8">
        <f t="shared" si="6"/>
        <v>2024</v>
      </c>
      <c r="H46" s="8">
        <f t="shared" si="6"/>
        <v>2025</v>
      </c>
      <c r="I46" s="8">
        <f t="shared" si="6"/>
        <v>2026</v>
      </c>
      <c r="J46" s="8">
        <f t="shared" si="6"/>
        <v>2027</v>
      </c>
      <c r="N46" s="187"/>
      <c r="O46" s="187"/>
      <c r="P46" s="12" t="s">
        <v>54</v>
      </c>
    </row>
    <row r="47" spans="1:16" ht="16.5" customHeight="1" thickTop="1" thickBot="1" x14ac:dyDescent="0.3">
      <c r="A47" s="5" t="s">
        <v>35</v>
      </c>
      <c r="B47" s="17" t="s">
        <v>36</v>
      </c>
      <c r="C47" s="17"/>
      <c r="D47" s="5"/>
      <c r="E47" s="5"/>
      <c r="F47" s="5"/>
      <c r="G47" s="5"/>
      <c r="H47" s="5"/>
      <c r="I47" s="5"/>
      <c r="J47" s="5"/>
      <c r="N47" s="13" t="s">
        <v>37</v>
      </c>
      <c r="O47" s="14" t="s">
        <v>34</v>
      </c>
      <c r="P47" s="15"/>
    </row>
    <row r="48" spans="1:16" ht="26.25" thickBot="1" x14ac:dyDescent="0.3">
      <c r="A48" s="6" t="s">
        <v>37</v>
      </c>
      <c r="B48" s="74" t="s">
        <v>38</v>
      </c>
      <c r="C48" s="27">
        <f>'2020'!C4</f>
        <v>13174.63</v>
      </c>
      <c r="D48" s="27">
        <f>C48-Zrealizowane!$H$5</f>
        <v>13073.63</v>
      </c>
      <c r="E48" s="27">
        <f>D48</f>
        <v>13073.63</v>
      </c>
      <c r="F48" s="27">
        <f>E48</f>
        <v>13073.63</v>
      </c>
      <c r="G48" s="27">
        <f>F48-Zrealizowane!$H$4-Zrealizowane!$H$6</f>
        <v>12825.769999999999</v>
      </c>
      <c r="H48" s="27">
        <f t="shared" ref="H48:J48" si="7">G48</f>
        <v>12825.769999999999</v>
      </c>
      <c r="I48" s="27">
        <f t="shared" si="7"/>
        <v>12825.769999999999</v>
      </c>
      <c r="J48" s="27">
        <f t="shared" si="7"/>
        <v>12825.769999999999</v>
      </c>
      <c r="N48" s="13" t="s">
        <v>55</v>
      </c>
      <c r="O48" s="15" t="s">
        <v>38</v>
      </c>
      <c r="P48" s="16">
        <v>2.5000000000000001E-3</v>
      </c>
    </row>
    <row r="49" spans="1:18" ht="15.75" thickBot="1" x14ac:dyDescent="0.3">
      <c r="A49" s="6" t="s">
        <v>40</v>
      </c>
      <c r="B49" s="74" t="s">
        <v>14</v>
      </c>
      <c r="C49" s="27">
        <f>'2020'!C5</f>
        <v>224191</v>
      </c>
      <c r="D49" s="27">
        <f>C49*(1+$P$49)-$K$50</f>
        <v>224515.24011904761</v>
      </c>
      <c r="E49" s="27">
        <f t="shared" ref="E49:J49" si="8">D49*(1+$P$49)-$K$50</f>
        <v>224840.29083839286</v>
      </c>
      <c r="F49" s="27">
        <f t="shared" si="8"/>
        <v>225166.15418453646</v>
      </c>
      <c r="G49" s="27">
        <f t="shared" si="8"/>
        <v>225492.83218904541</v>
      </c>
      <c r="H49" s="27">
        <f t="shared" si="8"/>
        <v>225820.32688856564</v>
      </c>
      <c r="I49" s="27">
        <f t="shared" si="8"/>
        <v>226148.64032483468</v>
      </c>
      <c r="J49" s="27">
        <f t="shared" si="8"/>
        <v>226477.77454469437</v>
      </c>
      <c r="N49" s="13" t="s">
        <v>56</v>
      </c>
      <c r="O49" s="15" t="s">
        <v>14</v>
      </c>
      <c r="P49" s="16">
        <v>2.5000000000000001E-3</v>
      </c>
      <c r="Q49" s="9">
        <f>3326/3022-1</f>
        <v>0.10059563203176713</v>
      </c>
      <c r="R49" s="9">
        <f>Q49/7</f>
        <v>1.4370804575966734E-2</v>
      </c>
    </row>
    <row r="50" spans="1:18" ht="15.75" thickBot="1" x14ac:dyDescent="0.3">
      <c r="A50" s="6" t="s">
        <v>42</v>
      </c>
      <c r="B50" s="74" t="s">
        <v>41</v>
      </c>
      <c r="C50" s="27">
        <f>'2020'!C6</f>
        <v>1711</v>
      </c>
      <c r="D50" s="27">
        <f>ROUND(C50*$P$50+C50,0)</f>
        <v>1711</v>
      </c>
      <c r="E50" s="27">
        <f t="shared" ref="E50:J50" si="9">ROUND(D50*$P$50+D50,0)</f>
        <v>1711</v>
      </c>
      <c r="F50" s="27">
        <f t="shared" si="9"/>
        <v>1711</v>
      </c>
      <c r="G50" s="27">
        <f t="shared" si="9"/>
        <v>1711</v>
      </c>
      <c r="H50" s="27">
        <f t="shared" si="9"/>
        <v>1711</v>
      </c>
      <c r="I50" s="27">
        <f t="shared" si="9"/>
        <v>1711</v>
      </c>
      <c r="J50" s="27">
        <f t="shared" si="9"/>
        <v>1711</v>
      </c>
      <c r="K50" s="72">
        <f>Zrealizowane!H12/7</f>
        <v>236.23738095238096</v>
      </c>
      <c r="N50" s="13" t="s">
        <v>57</v>
      </c>
      <c r="O50" s="15" t="s">
        <v>41</v>
      </c>
      <c r="P50" s="16">
        <v>0</v>
      </c>
    </row>
    <row r="51" spans="1:18" ht="15.75" thickBot="1" x14ac:dyDescent="0.3">
      <c r="A51" s="6" t="s">
        <v>49</v>
      </c>
      <c r="B51" s="74" t="s">
        <v>43</v>
      </c>
      <c r="C51" s="27">
        <f>'2020'!C7</f>
        <v>193582.61111111112</v>
      </c>
      <c r="D51" s="27">
        <f>ROUND(C51*$P$51+C51,0)</f>
        <v>193583</v>
      </c>
      <c r="E51" s="27">
        <f t="shared" ref="E51:J51" si="10">ROUND(D51*$P$51+D51,0)</f>
        <v>193583</v>
      </c>
      <c r="F51" s="27">
        <f t="shared" si="10"/>
        <v>193583</v>
      </c>
      <c r="G51" s="27">
        <f t="shared" si="10"/>
        <v>193583</v>
      </c>
      <c r="H51" s="27">
        <f t="shared" si="10"/>
        <v>193583</v>
      </c>
      <c r="I51" s="27">
        <f t="shared" si="10"/>
        <v>193583</v>
      </c>
      <c r="J51" s="27">
        <f t="shared" si="10"/>
        <v>193583</v>
      </c>
      <c r="N51" s="13" t="s">
        <v>58</v>
      </c>
      <c r="O51" s="15" t="s">
        <v>43</v>
      </c>
      <c r="P51" s="16">
        <v>0</v>
      </c>
    </row>
    <row r="52" spans="1:18" ht="15.75" thickBot="1" x14ac:dyDescent="0.3">
      <c r="A52" s="8"/>
      <c r="B52" s="29" t="s">
        <v>44</v>
      </c>
      <c r="C52" s="28">
        <f t="shared" ref="C52:J52" si="11">SUM(C48:C51)</f>
        <v>432659.24111111113</v>
      </c>
      <c r="D52" s="28">
        <f t="shared" si="11"/>
        <v>432882.87011904758</v>
      </c>
      <c r="E52" s="28">
        <f t="shared" si="11"/>
        <v>433207.92083839286</v>
      </c>
      <c r="F52" s="28">
        <f t="shared" si="11"/>
        <v>433533.78418453643</v>
      </c>
      <c r="G52" s="28">
        <f t="shared" si="11"/>
        <v>433612.6021890454</v>
      </c>
      <c r="H52" s="28">
        <f t="shared" si="11"/>
        <v>433940.09688856563</v>
      </c>
      <c r="I52" s="28">
        <f t="shared" si="11"/>
        <v>434268.41032483464</v>
      </c>
      <c r="J52" s="28">
        <f t="shared" si="11"/>
        <v>434597.54454469436</v>
      </c>
      <c r="N52" s="13" t="s">
        <v>59</v>
      </c>
      <c r="O52" s="15" t="s">
        <v>16</v>
      </c>
      <c r="P52" s="16">
        <v>2.5000000000000001E-3</v>
      </c>
    </row>
    <row r="53" spans="1:18" x14ac:dyDescent="0.25">
      <c r="A53" s="5" t="s">
        <v>45</v>
      </c>
      <c r="B53" s="185" t="s">
        <v>46</v>
      </c>
      <c r="C53" s="185"/>
      <c r="D53" s="75"/>
      <c r="E53" s="75"/>
      <c r="F53" s="75"/>
      <c r="G53" s="75"/>
      <c r="H53" s="75"/>
      <c r="I53" s="75"/>
      <c r="J53" s="75"/>
      <c r="O53"/>
    </row>
    <row r="54" spans="1:18" x14ac:dyDescent="0.25">
      <c r="A54" s="6" t="s">
        <v>47</v>
      </c>
      <c r="B54" s="74" t="str">
        <f>'2020'!$B$10</f>
        <v>Transport</v>
      </c>
      <c r="C54" s="27">
        <f>'2020'!C10</f>
        <v>56692.884603216822</v>
      </c>
      <c r="D54" s="27">
        <f>C54*(1+$P$52)</f>
        <v>56834.616814724861</v>
      </c>
      <c r="E54" s="27">
        <f t="shared" ref="E54:J54" si="12">D54*(1+$P$52)</f>
        <v>56976.703356761667</v>
      </c>
      <c r="F54" s="27">
        <f t="shared" si="12"/>
        <v>57119.145115153566</v>
      </c>
      <c r="G54" s="27">
        <f t="shared" si="12"/>
        <v>57261.942977941449</v>
      </c>
      <c r="H54" s="27">
        <f t="shared" si="12"/>
        <v>57405.097835386303</v>
      </c>
      <c r="I54" s="27">
        <f t="shared" si="12"/>
        <v>57548.610579974767</v>
      </c>
      <c r="J54" s="27">
        <f t="shared" si="12"/>
        <v>57692.482106424701</v>
      </c>
      <c r="O54"/>
    </row>
    <row r="55" spans="1:18" hidden="1" x14ac:dyDescent="0.25">
      <c r="A55" s="8"/>
      <c r="B55" s="29" t="s">
        <v>48</v>
      </c>
      <c r="C55" s="28">
        <f t="shared" ref="C55:J55" si="13">SUM(C54:C54)</f>
        <v>56692.884603216822</v>
      </c>
      <c r="D55" s="28">
        <f t="shared" si="13"/>
        <v>56834.616814724861</v>
      </c>
      <c r="E55" s="28">
        <f t="shared" si="13"/>
        <v>56976.703356761667</v>
      </c>
      <c r="F55" s="28">
        <f t="shared" si="13"/>
        <v>57119.145115153566</v>
      </c>
      <c r="G55" s="28">
        <f t="shared" si="13"/>
        <v>57261.942977941449</v>
      </c>
      <c r="H55" s="28">
        <f t="shared" si="13"/>
        <v>57405.097835386303</v>
      </c>
      <c r="I55" s="28">
        <f t="shared" si="13"/>
        <v>57548.610579974767</v>
      </c>
      <c r="J55" s="28">
        <f t="shared" si="13"/>
        <v>57692.482106424701</v>
      </c>
      <c r="O55"/>
    </row>
    <row r="56" spans="1:18" x14ac:dyDescent="0.25">
      <c r="A56" s="8"/>
      <c r="B56" s="29" t="s">
        <v>24</v>
      </c>
      <c r="C56" s="29">
        <f t="shared" ref="C56:J56" si="14">C52+C55</f>
        <v>489352.12571432797</v>
      </c>
      <c r="D56" s="29">
        <f t="shared" si="14"/>
        <v>489717.48693377245</v>
      </c>
      <c r="E56" s="29">
        <f t="shared" si="14"/>
        <v>490184.62419515452</v>
      </c>
      <c r="F56" s="29">
        <f t="shared" si="14"/>
        <v>490652.92929969</v>
      </c>
      <c r="G56" s="29">
        <f t="shared" si="14"/>
        <v>490874.54516698688</v>
      </c>
      <c r="H56" s="29">
        <f t="shared" si="14"/>
        <v>491345.19472395192</v>
      </c>
      <c r="I56" s="29">
        <f t="shared" si="14"/>
        <v>491817.02090480941</v>
      </c>
      <c r="J56" s="29">
        <f t="shared" si="14"/>
        <v>492290.02665111906</v>
      </c>
      <c r="O56"/>
    </row>
    <row r="57" spans="1:18" x14ac:dyDescent="0.25">
      <c r="O57"/>
    </row>
    <row r="58" spans="1:18" x14ac:dyDescent="0.25">
      <c r="A58" s="3" t="str">
        <f>E1</f>
        <v>Emisja CO2</v>
      </c>
      <c r="B58" s="4"/>
      <c r="C58" s="4"/>
      <c r="D58" s="8"/>
      <c r="E58" s="8"/>
      <c r="F58" s="8"/>
      <c r="G58" s="8"/>
      <c r="H58" s="8"/>
      <c r="I58" s="8"/>
      <c r="J58" s="8"/>
      <c r="O58"/>
    </row>
    <row r="59" spans="1:18" x14ac:dyDescent="0.25">
      <c r="A59" s="4" t="s">
        <v>32</v>
      </c>
      <c r="B59" s="4" t="s">
        <v>33</v>
      </c>
      <c r="C59" s="4">
        <v>2020</v>
      </c>
      <c r="D59" s="8">
        <f t="shared" ref="D59:J59" si="15">C59+1</f>
        <v>2021</v>
      </c>
      <c r="E59" s="8">
        <f t="shared" si="15"/>
        <v>2022</v>
      </c>
      <c r="F59" s="8">
        <f t="shared" si="15"/>
        <v>2023</v>
      </c>
      <c r="G59" s="8">
        <f t="shared" si="15"/>
        <v>2024</v>
      </c>
      <c r="H59" s="8">
        <f t="shared" si="15"/>
        <v>2025</v>
      </c>
      <c r="I59" s="8">
        <f t="shared" si="15"/>
        <v>2026</v>
      </c>
      <c r="J59" s="8">
        <f t="shared" si="15"/>
        <v>2027</v>
      </c>
      <c r="O59"/>
    </row>
    <row r="60" spans="1:18" ht="25.5" x14ac:dyDescent="0.25">
      <c r="A60" s="5" t="s">
        <v>35</v>
      </c>
      <c r="B60" s="17" t="s">
        <v>36</v>
      </c>
      <c r="C60" s="17"/>
      <c r="D60" s="5"/>
      <c r="E60" s="5"/>
      <c r="F60" s="5"/>
      <c r="G60" s="5"/>
      <c r="H60" s="5"/>
      <c r="I60" s="5"/>
      <c r="J60" s="5"/>
      <c r="O60"/>
    </row>
    <row r="61" spans="1:18" x14ac:dyDescent="0.25">
      <c r="A61" s="6" t="s">
        <v>37</v>
      </c>
      <c r="B61" s="74" t="s">
        <v>38</v>
      </c>
      <c r="C61" s="27">
        <f>'2020'!G4</f>
        <v>4087.5105679999997</v>
      </c>
      <c r="D61" s="27">
        <f>ROUND(C61*$P$48+C61,0)</f>
        <v>4098</v>
      </c>
      <c r="E61" s="27">
        <f>D61-Zrealizowane!$J$5</f>
        <v>4066.36</v>
      </c>
      <c r="F61" s="27">
        <f>E61-Zrealizowane!J3</f>
        <v>3092.2200000000003</v>
      </c>
      <c r="G61" s="27">
        <f>F61-Zrealizowane!J4-Zrealizowane!$J$6</f>
        <v>2369.7400000000002</v>
      </c>
      <c r="H61" s="27">
        <f t="shared" ref="H61:J61" si="16">ROUND(G61*$P$48+G61,0)</f>
        <v>2376</v>
      </c>
      <c r="I61" s="27">
        <f t="shared" si="16"/>
        <v>2382</v>
      </c>
      <c r="J61" s="27">
        <f t="shared" si="16"/>
        <v>2388</v>
      </c>
      <c r="O61"/>
    </row>
    <row r="62" spans="1:18" x14ac:dyDescent="0.25">
      <c r="A62" s="6" t="s">
        <v>40</v>
      </c>
      <c r="B62" s="74" t="s">
        <v>14</v>
      </c>
      <c r="C62" s="27">
        <f>'2020'!G5</f>
        <v>82156</v>
      </c>
      <c r="D62" s="27">
        <f t="shared" ref="D62:J62" si="17">C62*(1+$P$49)-$K$64</f>
        <v>82281.337497142857</v>
      </c>
      <c r="E62" s="27">
        <f t="shared" si="17"/>
        <v>82406.988338028561</v>
      </c>
      <c r="F62" s="27">
        <f t="shared" si="17"/>
        <v>82532.953306016483</v>
      </c>
      <c r="G62" s="27">
        <f t="shared" si="17"/>
        <v>82659.233186424375</v>
      </c>
      <c r="H62" s="27">
        <f t="shared" si="17"/>
        <v>82785.82876653329</v>
      </c>
      <c r="I62" s="27">
        <f t="shared" si="17"/>
        <v>82912.740835592471</v>
      </c>
      <c r="J62" s="27">
        <f t="shared" si="17"/>
        <v>83039.970184824298</v>
      </c>
    </row>
    <row r="63" spans="1:18" x14ac:dyDescent="0.25">
      <c r="A63" s="6" t="s">
        <v>42</v>
      </c>
      <c r="B63" s="74" t="s">
        <v>41</v>
      </c>
      <c r="C63" s="27">
        <f>'2020'!G6</f>
        <v>1308.915</v>
      </c>
      <c r="D63" s="27">
        <f>ROUND(C63*$P$50+C63,0)</f>
        <v>1309</v>
      </c>
      <c r="E63" s="27">
        <f t="shared" ref="E63:I63" si="18">ROUND(D63*$P$50+D63,0)</f>
        <v>1309</v>
      </c>
      <c r="F63" s="27">
        <f t="shared" si="18"/>
        <v>1309</v>
      </c>
      <c r="G63" s="27">
        <f t="shared" si="18"/>
        <v>1309</v>
      </c>
      <c r="H63" s="27">
        <f t="shared" si="18"/>
        <v>1309</v>
      </c>
      <c r="I63" s="27">
        <f t="shared" si="18"/>
        <v>1309</v>
      </c>
      <c r="J63" s="27">
        <f>ROUND(I63*$P$48+I63,0)</f>
        <v>1312</v>
      </c>
    </row>
    <row r="64" spans="1:18" x14ac:dyDescent="0.25">
      <c r="A64" s="6" t="s">
        <v>49</v>
      </c>
      <c r="B64" s="74" t="s">
        <v>43</v>
      </c>
      <c r="C64" s="27">
        <f>'2020'!G7</f>
        <v>145165.67499999999</v>
      </c>
      <c r="D64" s="27">
        <f>ROUND(C64*$P$51+C64,0)</f>
        <v>145166</v>
      </c>
      <c r="E64" s="27">
        <f t="shared" ref="E64:I64" si="19">ROUND(D64*$P$51+D64,0)</f>
        <v>145166</v>
      </c>
      <c r="F64" s="27">
        <f t="shared" si="19"/>
        <v>145166</v>
      </c>
      <c r="G64" s="27">
        <f t="shared" si="19"/>
        <v>145166</v>
      </c>
      <c r="H64" s="27">
        <f t="shared" si="19"/>
        <v>145166</v>
      </c>
      <c r="I64" s="27">
        <f t="shared" si="19"/>
        <v>145166</v>
      </c>
      <c r="J64" s="27">
        <f>ROUND(I64*$P$48+I64,0)</f>
        <v>145529</v>
      </c>
      <c r="K64" s="73">
        <f>Zrealizowane!J12/7</f>
        <v>80.052502857142855</v>
      </c>
    </row>
    <row r="65" spans="1:11" x14ac:dyDescent="0.25">
      <c r="A65" s="8"/>
      <c r="B65" s="29" t="s">
        <v>44</v>
      </c>
      <c r="C65" s="28">
        <f t="shared" ref="C65:J65" si="20">SUM(C61:C64)</f>
        <v>232718.10056799999</v>
      </c>
      <c r="D65" s="28">
        <f t="shared" si="20"/>
        <v>232854.33749714284</v>
      </c>
      <c r="E65" s="28">
        <f t="shared" si="20"/>
        <v>232948.34833802856</v>
      </c>
      <c r="F65" s="28">
        <f t="shared" si="20"/>
        <v>232100.17330601648</v>
      </c>
      <c r="G65" s="28">
        <f t="shared" si="20"/>
        <v>231503.97318642438</v>
      </c>
      <c r="H65" s="28">
        <f t="shared" si="20"/>
        <v>231636.82876653329</v>
      </c>
      <c r="I65" s="28">
        <f t="shared" si="20"/>
        <v>231769.74083559247</v>
      </c>
      <c r="J65" s="28">
        <f t="shared" si="20"/>
        <v>232268.97018482431</v>
      </c>
    </row>
    <row r="66" spans="1:11" x14ac:dyDescent="0.25">
      <c r="A66" s="5" t="s">
        <v>45</v>
      </c>
      <c r="B66" s="185" t="s">
        <v>46</v>
      </c>
      <c r="C66" s="185"/>
      <c r="D66" s="75"/>
      <c r="E66" s="75"/>
      <c r="F66" s="75"/>
      <c r="G66" s="75"/>
      <c r="H66" s="75"/>
      <c r="I66" s="75"/>
      <c r="J66" s="75"/>
    </row>
    <row r="67" spans="1:11" x14ac:dyDescent="0.25">
      <c r="A67" s="54" t="s">
        <v>47</v>
      </c>
      <c r="B67" s="74" t="str">
        <f>'2020'!$B$10</f>
        <v>Transport</v>
      </c>
      <c r="C67" s="27">
        <f>'2020'!G10</f>
        <v>17034.873439231731</v>
      </c>
      <c r="D67" s="55">
        <f>C67-$K$69</f>
        <v>16968.279510660301</v>
      </c>
      <c r="E67" s="55">
        <f t="shared" ref="E67:J67" si="21">D67-$K$69</f>
        <v>16901.68558208887</v>
      </c>
      <c r="F67" s="55">
        <f t="shared" si="21"/>
        <v>16835.09165351744</v>
      </c>
      <c r="G67" s="55">
        <f t="shared" si="21"/>
        <v>16768.49772494601</v>
      </c>
      <c r="H67" s="55">
        <f t="shared" si="21"/>
        <v>16701.90379637458</v>
      </c>
      <c r="I67" s="55">
        <f t="shared" si="21"/>
        <v>16635.309867803149</v>
      </c>
      <c r="J67" s="55">
        <f t="shared" si="21"/>
        <v>16568.715939231719</v>
      </c>
    </row>
    <row r="68" spans="1:11" x14ac:dyDescent="0.25">
      <c r="A68" s="8"/>
      <c r="B68" s="29" t="s">
        <v>48</v>
      </c>
      <c r="C68" s="28">
        <f t="shared" ref="C68" si="22">SUM(C67:C67)</f>
        <v>17034.873439231731</v>
      </c>
      <c r="D68" s="28">
        <f>C68*(1+$P$52)</f>
        <v>17077.460622829811</v>
      </c>
      <c r="E68" s="28">
        <f t="shared" ref="E68:J68" si="23">D68*(1+$P$52)</f>
        <v>17120.154274386885</v>
      </c>
      <c r="F68" s="28">
        <f t="shared" si="23"/>
        <v>17162.95466007285</v>
      </c>
      <c r="G68" s="28">
        <f t="shared" si="23"/>
        <v>17205.862046723032</v>
      </c>
      <c r="H68" s="28">
        <f t="shared" si="23"/>
        <v>17248.876701839839</v>
      </c>
      <c r="I68" s="28">
        <f t="shared" si="23"/>
        <v>17291.998893594438</v>
      </c>
      <c r="J68" s="28">
        <f t="shared" si="23"/>
        <v>17335.228890828424</v>
      </c>
    </row>
    <row r="69" spans="1:11" x14ac:dyDescent="0.25">
      <c r="A69" s="8"/>
      <c r="B69" s="29" t="s">
        <v>24</v>
      </c>
      <c r="C69" s="29">
        <f t="shared" ref="C69:J69" si="24">C65+C68</f>
        <v>249752.97400723174</v>
      </c>
      <c r="D69" s="29">
        <f t="shared" si="24"/>
        <v>249931.79811997266</v>
      </c>
      <c r="E69" s="29">
        <f t="shared" si="24"/>
        <v>250068.50261241544</v>
      </c>
      <c r="F69" s="29">
        <f t="shared" si="24"/>
        <v>249263.12796608935</v>
      </c>
      <c r="G69" s="29">
        <f t="shared" si="24"/>
        <v>248709.8352331474</v>
      </c>
      <c r="H69" s="29">
        <f t="shared" si="24"/>
        <v>248885.70546837314</v>
      </c>
      <c r="I69" s="29">
        <f t="shared" si="24"/>
        <v>249061.7397291869</v>
      </c>
      <c r="J69" s="29">
        <f>J65+J68</f>
        <v>249604.19907565275</v>
      </c>
      <c r="K69" s="71">
        <f>Zrealizowane!J24/7</f>
        <v>66.593928571428563</v>
      </c>
    </row>
  </sheetData>
  <mergeCells count="8">
    <mergeCell ref="B66:C66"/>
    <mergeCell ref="N45:N46"/>
    <mergeCell ref="O45:O46"/>
    <mergeCell ref="B53:C53"/>
    <mergeCell ref="B3:C3"/>
    <mergeCell ref="F3:G3"/>
    <mergeCell ref="B9:C9"/>
    <mergeCell ref="F9:G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41"/>
  <sheetViews>
    <sheetView topLeftCell="A20" zoomScale="85" zoomScaleNormal="85" workbookViewId="0">
      <selection activeCell="F44" sqref="F44"/>
    </sheetView>
  </sheetViews>
  <sheetFormatPr defaultRowHeight="15" x14ac:dyDescent="0.25"/>
  <cols>
    <col min="1" max="1" width="4.7109375" customWidth="1"/>
    <col min="2" max="2" width="18.85546875" customWidth="1"/>
    <col min="3" max="3" width="38.28515625" style="2" customWidth="1"/>
    <col min="4" max="4" width="14.28515625" customWidth="1"/>
    <col min="6" max="6" width="17.28515625" style="53" customWidth="1"/>
    <col min="7" max="7" width="15.85546875" style="2" customWidth="1"/>
    <col min="8" max="8" width="11.7109375" style="71" bestFit="1" customWidth="1"/>
    <col min="9" max="10" width="9.140625" style="71"/>
  </cols>
  <sheetData>
    <row r="1" spans="1:10" ht="56.25" x14ac:dyDescent="0.25">
      <c r="A1" s="30" t="s">
        <v>0</v>
      </c>
      <c r="B1" s="43" t="s">
        <v>1</v>
      </c>
      <c r="C1" s="32" t="s">
        <v>2</v>
      </c>
      <c r="D1" s="43" t="s">
        <v>3</v>
      </c>
      <c r="E1" s="43" t="s">
        <v>4</v>
      </c>
      <c r="F1" s="188" t="s">
        <v>5</v>
      </c>
      <c r="G1" s="189" t="s">
        <v>6</v>
      </c>
      <c r="H1" s="42" t="s">
        <v>7</v>
      </c>
      <c r="I1" s="42" t="s">
        <v>350</v>
      </c>
      <c r="J1" s="42" t="s">
        <v>8</v>
      </c>
    </row>
    <row r="2" spans="1:10" x14ac:dyDescent="0.25">
      <c r="A2" s="30"/>
      <c r="B2" s="43"/>
      <c r="C2" s="32"/>
      <c r="D2" s="43"/>
      <c r="E2" s="43"/>
      <c r="F2" s="188"/>
      <c r="G2" s="189"/>
      <c r="H2" s="42" t="s">
        <v>9</v>
      </c>
      <c r="I2" s="42" t="s">
        <v>9</v>
      </c>
      <c r="J2" s="42" t="s">
        <v>10</v>
      </c>
    </row>
    <row r="3" spans="1:10" ht="22.5" x14ac:dyDescent="0.25">
      <c r="A3" s="33"/>
      <c r="B3" s="34" t="s">
        <v>11</v>
      </c>
      <c r="C3" s="35"/>
      <c r="D3" s="35"/>
      <c r="E3" s="35"/>
      <c r="F3" s="36">
        <f>SUM(F4:F10)</f>
        <v>16129562.819999998</v>
      </c>
      <c r="G3" s="34"/>
      <c r="H3" s="165">
        <f>SUM(H4:H11)</f>
        <v>992.56</v>
      </c>
      <c r="I3" s="165">
        <f>SUM(I4:I11)</f>
        <v>223.55</v>
      </c>
      <c r="J3" s="165">
        <f>SUM(J4:J11)</f>
        <v>974.14</v>
      </c>
    </row>
    <row r="4" spans="1:10" ht="78.75" x14ac:dyDescent="0.25">
      <c r="A4" s="38">
        <v>1</v>
      </c>
      <c r="B4" s="38" t="s">
        <v>223</v>
      </c>
      <c r="C4" s="38" t="s">
        <v>224</v>
      </c>
      <c r="D4" s="38" t="s">
        <v>225</v>
      </c>
      <c r="E4" s="38" t="s">
        <v>226</v>
      </c>
      <c r="F4" s="51">
        <v>9064994</v>
      </c>
      <c r="G4" s="38" t="s">
        <v>227</v>
      </c>
      <c r="H4" s="166">
        <v>247.86</v>
      </c>
      <c r="I4" s="166">
        <v>165.49</v>
      </c>
      <c r="J4" s="166">
        <v>705.51</v>
      </c>
    </row>
    <row r="5" spans="1:10" ht="90" x14ac:dyDescent="0.25">
      <c r="A5" s="38">
        <v>2</v>
      </c>
      <c r="B5" s="38" t="s">
        <v>228</v>
      </c>
      <c r="C5" s="38" t="s">
        <v>224</v>
      </c>
      <c r="D5" s="38" t="s">
        <v>229</v>
      </c>
      <c r="E5" s="38" t="s">
        <v>226</v>
      </c>
      <c r="F5" s="51">
        <v>2401844</v>
      </c>
      <c r="G5" s="38" t="s">
        <v>227</v>
      </c>
      <c r="H5" s="166">
        <v>101</v>
      </c>
      <c r="I5" s="166">
        <v>3.61</v>
      </c>
      <c r="J5" s="166">
        <v>31.64</v>
      </c>
    </row>
    <row r="6" spans="1:10" ht="67.5" x14ac:dyDescent="0.25">
      <c r="A6" s="38">
        <v>3</v>
      </c>
      <c r="B6" s="38" t="s">
        <v>230</v>
      </c>
      <c r="C6" s="38" t="s">
        <v>224</v>
      </c>
      <c r="D6" s="38" t="s">
        <v>231</v>
      </c>
      <c r="E6" s="38" t="s">
        <v>226</v>
      </c>
      <c r="F6" s="51">
        <v>2000000</v>
      </c>
      <c r="G6" s="38" t="s">
        <v>227</v>
      </c>
      <c r="H6" s="166">
        <v>0</v>
      </c>
      <c r="I6" s="166">
        <v>52.23</v>
      </c>
      <c r="J6" s="166">
        <v>16.97</v>
      </c>
    </row>
    <row r="7" spans="1:10" ht="67.5" x14ac:dyDescent="0.25">
      <c r="A7" s="38">
        <v>4</v>
      </c>
      <c r="B7" s="38" t="s">
        <v>232</v>
      </c>
      <c r="C7" s="40" t="s">
        <v>224</v>
      </c>
      <c r="D7" s="38" t="s">
        <v>233</v>
      </c>
      <c r="E7" s="38" t="s">
        <v>234</v>
      </c>
      <c r="F7" s="51">
        <v>910244</v>
      </c>
      <c r="G7" s="38" t="s">
        <v>235</v>
      </c>
      <c r="H7" s="166">
        <v>404.7</v>
      </c>
      <c r="I7" s="166">
        <v>0</v>
      </c>
      <c r="J7" s="166">
        <v>131.15</v>
      </c>
    </row>
    <row r="8" spans="1:10" ht="157.5" x14ac:dyDescent="0.25">
      <c r="A8" s="38">
        <v>5</v>
      </c>
      <c r="B8" s="38" t="s">
        <v>236</v>
      </c>
      <c r="C8" s="40" t="s">
        <v>237</v>
      </c>
      <c r="D8" s="38" t="s">
        <v>238</v>
      </c>
      <c r="E8" s="38" t="s">
        <v>239</v>
      </c>
      <c r="F8" s="51">
        <f>436578.37</f>
        <v>436578.37</v>
      </c>
      <c r="G8" s="38" t="s">
        <v>286</v>
      </c>
      <c r="H8" s="166">
        <v>46.53</v>
      </c>
      <c r="I8" s="166">
        <v>2.2200000000000002</v>
      </c>
      <c r="J8" s="166">
        <v>23.56</v>
      </c>
    </row>
    <row r="9" spans="1:10" ht="236.25" x14ac:dyDescent="0.25">
      <c r="A9" s="38">
        <v>6</v>
      </c>
      <c r="B9" s="38" t="s">
        <v>240</v>
      </c>
      <c r="C9" s="40" t="s">
        <v>241</v>
      </c>
      <c r="D9" s="38" t="s">
        <v>238</v>
      </c>
      <c r="E9" s="38" t="s">
        <v>239</v>
      </c>
      <c r="F9" s="51">
        <f>647104.71</f>
        <v>647104.71</v>
      </c>
      <c r="G9" s="38" t="s">
        <v>288</v>
      </c>
      <c r="H9" s="166">
        <v>97.46</v>
      </c>
      <c r="I9" s="166">
        <v>0</v>
      </c>
      <c r="J9" s="166">
        <v>33.07</v>
      </c>
    </row>
    <row r="10" spans="1:10" ht="213.75" x14ac:dyDescent="0.25">
      <c r="A10" s="38">
        <v>7</v>
      </c>
      <c r="B10" s="38" t="s">
        <v>242</v>
      </c>
      <c r="C10" s="40" t="s">
        <v>243</v>
      </c>
      <c r="D10" s="38" t="s">
        <v>238</v>
      </c>
      <c r="E10" s="38" t="s">
        <v>239</v>
      </c>
      <c r="F10" s="51">
        <f>668797.74</f>
        <v>668797.74</v>
      </c>
      <c r="G10" s="167" t="s">
        <v>287</v>
      </c>
      <c r="H10" s="166">
        <v>95.01</v>
      </c>
      <c r="I10" s="166">
        <v>0</v>
      </c>
      <c r="J10" s="166">
        <v>32.24</v>
      </c>
    </row>
    <row r="11" spans="1:10" hidden="1" x14ac:dyDescent="0.25">
      <c r="A11" s="38">
        <v>8</v>
      </c>
      <c r="B11" s="38"/>
      <c r="C11" s="40"/>
      <c r="D11" s="38"/>
      <c r="E11" s="38"/>
      <c r="F11" s="51"/>
      <c r="G11" s="38"/>
      <c r="H11" s="166"/>
      <c r="I11" s="166"/>
      <c r="J11" s="166"/>
    </row>
    <row r="12" spans="1:10" x14ac:dyDescent="0.25">
      <c r="A12" s="33"/>
      <c r="B12" s="34" t="s">
        <v>14</v>
      </c>
      <c r="C12" s="35"/>
      <c r="D12" s="35"/>
      <c r="E12" s="35"/>
      <c r="F12" s="52">
        <f>SUM(F13:F20)</f>
        <v>5979175.46</v>
      </c>
      <c r="G12" s="34"/>
      <c r="H12" s="165">
        <f>SUM(H13:H20)</f>
        <v>1653.6616666666666</v>
      </c>
      <c r="I12" s="165">
        <f>SUM(I13:I20)</f>
        <v>8</v>
      </c>
      <c r="J12" s="165">
        <f>SUM(J13:J20)</f>
        <v>560.36752000000001</v>
      </c>
    </row>
    <row r="13" spans="1:10" s="177" customFormat="1" ht="225" x14ac:dyDescent="0.25">
      <c r="A13" s="174">
        <v>1</v>
      </c>
      <c r="B13" s="174" t="s">
        <v>244</v>
      </c>
      <c r="C13" s="178" t="s">
        <v>245</v>
      </c>
      <c r="D13" s="174" t="s">
        <v>246</v>
      </c>
      <c r="E13" s="174" t="s">
        <v>85</v>
      </c>
      <c r="F13" s="175">
        <v>2510200</v>
      </c>
      <c r="G13" s="174" t="s">
        <v>247</v>
      </c>
      <c r="H13" s="176">
        <v>172</v>
      </c>
      <c r="I13" s="176">
        <v>8</v>
      </c>
      <c r="J13" s="176">
        <v>107</v>
      </c>
    </row>
    <row r="14" spans="1:10" s="177" customFormat="1" ht="22.5" x14ac:dyDescent="0.25">
      <c r="A14" s="174">
        <v>2</v>
      </c>
      <c r="B14" s="174" t="s">
        <v>328</v>
      </c>
      <c r="C14" s="174" t="s">
        <v>330</v>
      </c>
      <c r="D14" s="174" t="s">
        <v>246</v>
      </c>
      <c r="E14" s="174" t="s">
        <v>25</v>
      </c>
      <c r="F14" s="175">
        <v>322497.03000000003</v>
      </c>
      <c r="G14" s="174" t="s">
        <v>329</v>
      </c>
      <c r="H14" s="176">
        <v>351</v>
      </c>
      <c r="I14" s="176">
        <v>0</v>
      </c>
      <c r="J14" s="176">
        <v>336</v>
      </c>
    </row>
    <row r="15" spans="1:10" ht="146.25" x14ac:dyDescent="0.25">
      <c r="A15" s="38">
        <v>3</v>
      </c>
      <c r="B15" s="38" t="s">
        <v>248</v>
      </c>
      <c r="C15" s="40" t="s">
        <v>249</v>
      </c>
      <c r="D15" s="38" t="s">
        <v>250</v>
      </c>
      <c r="E15" s="38" t="s">
        <v>76</v>
      </c>
      <c r="F15" s="51">
        <v>2089985.92</v>
      </c>
      <c r="G15" s="38" t="s">
        <v>251</v>
      </c>
      <c r="H15" s="166">
        <v>1094.6616666666666</v>
      </c>
      <c r="I15" s="166">
        <v>0</v>
      </c>
      <c r="J15" s="166">
        <v>105.08751999999998</v>
      </c>
    </row>
    <row r="16" spans="1:10" ht="68.25" customHeight="1" x14ac:dyDescent="0.25">
      <c r="A16" s="57">
        <v>4</v>
      </c>
      <c r="B16" s="38" t="s">
        <v>252</v>
      </c>
      <c r="C16" s="40" t="s">
        <v>253</v>
      </c>
      <c r="D16" s="38" t="s">
        <v>254</v>
      </c>
      <c r="E16" s="38" t="s">
        <v>239</v>
      </c>
      <c r="F16" s="51">
        <v>795000</v>
      </c>
      <c r="G16" s="38" t="s">
        <v>255</v>
      </c>
      <c r="H16" s="166">
        <v>36</v>
      </c>
      <c r="I16" s="166">
        <v>0</v>
      </c>
      <c r="J16" s="166">
        <v>12.28</v>
      </c>
    </row>
    <row r="17" spans="1:10" hidden="1" x14ac:dyDescent="0.25">
      <c r="A17" s="38">
        <v>4</v>
      </c>
      <c r="B17" s="38"/>
      <c r="C17" s="40"/>
      <c r="D17" s="38"/>
      <c r="E17" s="38"/>
      <c r="F17" s="50"/>
      <c r="G17" s="38"/>
      <c r="H17" s="166"/>
      <c r="I17" s="166"/>
      <c r="J17" s="166"/>
    </row>
    <row r="18" spans="1:10" hidden="1" x14ac:dyDescent="0.25">
      <c r="A18" s="38"/>
      <c r="B18" s="38"/>
      <c r="C18" s="40"/>
      <c r="D18" s="38"/>
      <c r="E18" s="38"/>
      <c r="F18" s="38"/>
      <c r="G18" s="38"/>
      <c r="H18" s="166"/>
      <c r="I18" s="166"/>
      <c r="J18" s="166"/>
    </row>
    <row r="19" spans="1:10" hidden="1" x14ac:dyDescent="0.25">
      <c r="A19" s="38">
        <v>4</v>
      </c>
      <c r="B19" s="38"/>
      <c r="C19" s="40"/>
      <c r="D19" s="38"/>
      <c r="E19" s="38"/>
      <c r="F19" s="51"/>
      <c r="G19" s="38"/>
      <c r="H19" s="166"/>
      <c r="I19" s="166"/>
      <c r="J19" s="166"/>
    </row>
    <row r="20" spans="1:10" s="177" customFormat="1" ht="40.5" customHeight="1" thickBot="1" x14ac:dyDescent="0.3">
      <c r="A20" s="170">
        <v>5</v>
      </c>
      <c r="B20" s="171" t="s">
        <v>331</v>
      </c>
      <c r="C20" s="172" t="s">
        <v>332</v>
      </c>
      <c r="D20" s="173" t="s">
        <v>333</v>
      </c>
      <c r="E20" s="174">
        <v>2020</v>
      </c>
      <c r="F20" s="175">
        <v>261492.51</v>
      </c>
      <c r="G20" s="174" t="s">
        <v>334</v>
      </c>
      <c r="H20" s="176">
        <v>0</v>
      </c>
      <c r="I20" s="176">
        <v>0</v>
      </c>
      <c r="J20" s="176">
        <v>0</v>
      </c>
    </row>
    <row r="21" spans="1:10" ht="14.25" customHeight="1" x14ac:dyDescent="0.25">
      <c r="A21" s="33"/>
      <c r="B21" s="34" t="s">
        <v>15</v>
      </c>
      <c r="C21" s="35"/>
      <c r="D21" s="35"/>
      <c r="E21" s="35"/>
      <c r="F21" s="52">
        <v>0</v>
      </c>
      <c r="G21" s="34"/>
      <c r="H21" s="165">
        <f>SUM(H22:H23)</f>
        <v>25.2</v>
      </c>
      <c r="I21" s="165">
        <f t="shared" ref="I21:J21" si="0">SUM(I22:I23)</f>
        <v>25.2</v>
      </c>
      <c r="J21" s="165">
        <f t="shared" si="0"/>
        <v>19.277999999999999</v>
      </c>
    </row>
    <row r="22" spans="1:10" ht="45" x14ac:dyDescent="0.25">
      <c r="A22" s="38">
        <v>1</v>
      </c>
      <c r="B22" s="38" t="s">
        <v>256</v>
      </c>
      <c r="C22" s="40" t="s">
        <v>257</v>
      </c>
      <c r="D22" s="38" t="s">
        <v>258</v>
      </c>
      <c r="E22" s="38">
        <v>2019</v>
      </c>
      <c r="F22" s="50" t="s">
        <v>259</v>
      </c>
      <c r="G22" s="38" t="s">
        <v>61</v>
      </c>
      <c r="H22" s="166">
        <v>25.2</v>
      </c>
      <c r="I22" s="166">
        <v>25.2</v>
      </c>
      <c r="J22" s="166">
        <v>19.277999999999999</v>
      </c>
    </row>
    <row r="23" spans="1:10" ht="45" x14ac:dyDescent="0.25">
      <c r="A23" s="38">
        <v>2</v>
      </c>
      <c r="B23" s="38" t="s">
        <v>260</v>
      </c>
      <c r="C23" s="40" t="s">
        <v>261</v>
      </c>
      <c r="D23" s="38" t="s">
        <v>258</v>
      </c>
      <c r="E23" s="38" t="s">
        <v>262</v>
      </c>
      <c r="F23" s="50" t="s">
        <v>259</v>
      </c>
      <c r="G23" s="38" t="s">
        <v>61</v>
      </c>
      <c r="H23" s="166" t="s">
        <v>13</v>
      </c>
      <c r="I23" s="166" t="s">
        <v>13</v>
      </c>
      <c r="J23" s="166" t="s">
        <v>13</v>
      </c>
    </row>
    <row r="24" spans="1:10" x14ac:dyDescent="0.25">
      <c r="A24" s="33"/>
      <c r="B24" s="34" t="s">
        <v>16</v>
      </c>
      <c r="C24" s="35"/>
      <c r="D24" s="35"/>
      <c r="E24" s="35"/>
      <c r="F24" s="52"/>
      <c r="G24" s="34"/>
      <c r="H24" s="165">
        <f>SUM(H25:H32)</f>
        <v>1844.9687250000002</v>
      </c>
      <c r="I24" s="165">
        <f>SUM(I25:I32)</f>
        <v>0</v>
      </c>
      <c r="J24" s="165">
        <f>SUM(J25:J32)</f>
        <v>466.15749999999997</v>
      </c>
    </row>
    <row r="25" spans="1:10" ht="90" x14ac:dyDescent="0.25">
      <c r="A25" s="38">
        <v>1</v>
      </c>
      <c r="B25" s="38" t="s">
        <v>270</v>
      </c>
      <c r="C25" s="40" t="s">
        <v>224</v>
      </c>
      <c r="D25" s="38" t="s">
        <v>271</v>
      </c>
      <c r="E25" s="38" t="s">
        <v>234</v>
      </c>
      <c r="F25" s="51">
        <v>5200000</v>
      </c>
      <c r="G25" s="38" t="s">
        <v>227</v>
      </c>
      <c r="H25" s="166">
        <v>594</v>
      </c>
      <c r="I25" s="166">
        <v>0</v>
      </c>
      <c r="J25" s="166">
        <v>148.47999999999999</v>
      </c>
    </row>
    <row r="26" spans="1:10" ht="90" x14ac:dyDescent="0.25">
      <c r="A26" s="38">
        <v>2</v>
      </c>
      <c r="B26" s="38" t="s">
        <v>272</v>
      </c>
      <c r="C26" s="40" t="s">
        <v>224</v>
      </c>
      <c r="D26" s="38" t="s">
        <v>271</v>
      </c>
      <c r="E26" s="38" t="s">
        <v>273</v>
      </c>
      <c r="F26" s="51">
        <v>9700000</v>
      </c>
      <c r="G26" s="38" t="s">
        <v>227</v>
      </c>
      <c r="H26" s="166">
        <v>594</v>
      </c>
      <c r="I26" s="166">
        <v>0</v>
      </c>
      <c r="J26" s="166">
        <v>148.47999999999999</v>
      </c>
    </row>
    <row r="27" spans="1:10" ht="112.5" x14ac:dyDescent="0.25">
      <c r="A27" s="38">
        <v>3</v>
      </c>
      <c r="B27" s="38" t="s">
        <v>274</v>
      </c>
      <c r="C27" s="40" t="s">
        <v>275</v>
      </c>
      <c r="D27" s="38" t="s">
        <v>276</v>
      </c>
      <c r="E27" s="38" t="s">
        <v>273</v>
      </c>
      <c r="F27" s="51">
        <v>3574759.78</v>
      </c>
      <c r="G27" s="38" t="s">
        <v>227</v>
      </c>
      <c r="H27" s="166">
        <v>359.97</v>
      </c>
      <c r="I27" s="166">
        <v>0</v>
      </c>
      <c r="J27" s="166">
        <v>94.96</v>
      </c>
    </row>
    <row r="28" spans="1:10" ht="22.5" x14ac:dyDescent="0.25">
      <c r="A28" s="38">
        <v>4</v>
      </c>
      <c r="B28" s="38" t="s">
        <v>325</v>
      </c>
      <c r="C28" s="40" t="s">
        <v>327</v>
      </c>
      <c r="D28" s="38" t="s">
        <v>246</v>
      </c>
      <c r="E28" s="38" t="s">
        <v>273</v>
      </c>
      <c r="F28" s="51">
        <v>10207644</v>
      </c>
      <c r="G28" s="38" t="s">
        <v>326</v>
      </c>
      <c r="H28" s="166">
        <f>0.25%*'2013'!$C$10</f>
        <v>296.99872500000004</v>
      </c>
      <c r="I28" s="166">
        <v>0</v>
      </c>
      <c r="J28" s="166">
        <f>0.25%*'2013'!$G$10</f>
        <v>74.237499999999997</v>
      </c>
    </row>
    <row r="29" spans="1:10" ht="90" x14ac:dyDescent="0.25">
      <c r="A29" s="38">
        <v>5</v>
      </c>
      <c r="B29" s="38" t="s">
        <v>277</v>
      </c>
      <c r="C29" s="40" t="s">
        <v>278</v>
      </c>
      <c r="D29" s="38" t="s">
        <v>279</v>
      </c>
      <c r="E29" s="38" t="s">
        <v>280</v>
      </c>
      <c r="F29" s="51">
        <v>63486257</v>
      </c>
      <c r="G29" s="38" t="s">
        <v>281</v>
      </c>
      <c r="H29" s="166" t="s">
        <v>13</v>
      </c>
      <c r="I29" s="166" t="s">
        <v>13</v>
      </c>
      <c r="J29" s="166" t="s">
        <v>13</v>
      </c>
    </row>
    <row r="30" spans="1:10" ht="202.5" x14ac:dyDescent="0.25">
      <c r="A30" s="38">
        <v>6</v>
      </c>
      <c r="B30" s="38" t="s">
        <v>282</v>
      </c>
      <c r="C30" s="40" t="s">
        <v>283</v>
      </c>
      <c r="D30" s="38" t="s">
        <v>246</v>
      </c>
      <c r="E30" s="38" t="s">
        <v>284</v>
      </c>
      <c r="F30" s="51">
        <v>3873012.71</v>
      </c>
      <c r="G30" s="38" t="s">
        <v>285</v>
      </c>
      <c r="H30" s="166" t="s">
        <v>13</v>
      </c>
      <c r="I30" s="166" t="s">
        <v>13</v>
      </c>
      <c r="J30" s="166" t="s">
        <v>13</v>
      </c>
    </row>
    <row r="31" spans="1:10" hidden="1" x14ac:dyDescent="0.25">
      <c r="A31" s="38">
        <v>6</v>
      </c>
      <c r="B31" s="38"/>
      <c r="C31" s="40"/>
      <c r="D31" s="38"/>
      <c r="E31" s="38"/>
      <c r="F31" s="51"/>
      <c r="G31" s="38"/>
      <c r="H31" s="166"/>
      <c r="I31" s="166"/>
      <c r="J31" s="166"/>
    </row>
    <row r="32" spans="1:10" x14ac:dyDescent="0.25">
      <c r="A32" s="33"/>
      <c r="B32" s="34" t="s">
        <v>17</v>
      </c>
      <c r="C32" s="35"/>
      <c r="D32" s="35"/>
      <c r="E32" s="35"/>
      <c r="F32" s="52"/>
      <c r="G32" s="34"/>
      <c r="H32" s="165">
        <f>SUM(H33:H35)</f>
        <v>0</v>
      </c>
      <c r="I32" s="165">
        <f>SUM(I33:I35)</f>
        <v>0</v>
      </c>
      <c r="J32" s="165">
        <f>SUM(J33:J35)</f>
        <v>0</v>
      </c>
    </row>
    <row r="33" spans="1:10" x14ac:dyDescent="0.25">
      <c r="A33" s="37">
        <v>1</v>
      </c>
      <c r="B33" s="38" t="s">
        <v>13</v>
      </c>
      <c r="C33" s="38" t="s">
        <v>13</v>
      </c>
      <c r="D33" s="38" t="s">
        <v>13</v>
      </c>
      <c r="E33" s="38" t="s">
        <v>13</v>
      </c>
      <c r="F33" s="38" t="s">
        <v>13</v>
      </c>
      <c r="G33" s="38" t="s">
        <v>13</v>
      </c>
      <c r="H33" s="166" t="s">
        <v>13</v>
      </c>
      <c r="I33" s="166" t="s">
        <v>13</v>
      </c>
      <c r="J33" s="166" t="s">
        <v>13</v>
      </c>
    </row>
    <row r="34" spans="1:10" x14ac:dyDescent="0.25">
      <c r="A34" s="33"/>
      <c r="B34" s="34" t="s">
        <v>18</v>
      </c>
      <c r="C34" s="35"/>
      <c r="D34" s="35"/>
      <c r="E34" s="35"/>
      <c r="F34" s="52">
        <v>0</v>
      </c>
      <c r="G34" s="34"/>
      <c r="H34" s="165">
        <f>SUM(H35:H37)</f>
        <v>0</v>
      </c>
      <c r="I34" s="165">
        <f>SUM(I35:I37)</f>
        <v>0</v>
      </c>
      <c r="J34" s="165">
        <f>SUM(J35:J37)</f>
        <v>0</v>
      </c>
    </row>
    <row r="35" spans="1:10" ht="56.25" x14ac:dyDescent="0.25">
      <c r="A35" s="38">
        <v>1</v>
      </c>
      <c r="B35" s="38" t="s">
        <v>19</v>
      </c>
      <c r="C35" s="40" t="s">
        <v>263</v>
      </c>
      <c r="D35" s="38" t="s">
        <v>246</v>
      </c>
      <c r="E35" s="38" t="s">
        <v>264</v>
      </c>
      <c r="F35" s="38" t="s">
        <v>12</v>
      </c>
      <c r="G35" s="38" t="s">
        <v>13</v>
      </c>
      <c r="H35" s="166">
        <v>0</v>
      </c>
      <c r="I35" s="166">
        <v>0</v>
      </c>
      <c r="J35" s="166">
        <v>0</v>
      </c>
    </row>
    <row r="36" spans="1:10" ht="78.75" x14ac:dyDescent="0.25">
      <c r="A36" s="38">
        <v>2</v>
      </c>
      <c r="B36" s="38" t="s">
        <v>20</v>
      </c>
      <c r="C36" s="40" t="s">
        <v>265</v>
      </c>
      <c r="D36" s="38" t="s">
        <v>246</v>
      </c>
      <c r="E36" s="38" t="s">
        <v>264</v>
      </c>
      <c r="F36" s="38" t="s">
        <v>12</v>
      </c>
      <c r="G36" s="38" t="s">
        <v>13</v>
      </c>
      <c r="H36" s="166">
        <v>0</v>
      </c>
      <c r="I36" s="166">
        <v>0</v>
      </c>
      <c r="J36" s="166">
        <v>0</v>
      </c>
    </row>
    <row r="37" spans="1:10" ht="22.5" x14ac:dyDescent="0.25">
      <c r="A37" s="33"/>
      <c r="B37" s="34" t="s">
        <v>21</v>
      </c>
      <c r="C37" s="35"/>
      <c r="D37" s="35"/>
      <c r="E37" s="35"/>
      <c r="F37" s="52">
        <v>0</v>
      </c>
      <c r="G37" s="34"/>
      <c r="H37" s="165">
        <v>0</v>
      </c>
      <c r="I37" s="165">
        <v>0</v>
      </c>
      <c r="J37" s="165">
        <v>0</v>
      </c>
    </row>
    <row r="38" spans="1:10" ht="78.75" x14ac:dyDescent="0.25">
      <c r="A38" s="38">
        <v>1</v>
      </c>
      <c r="B38" s="38" t="s">
        <v>266</v>
      </c>
      <c r="C38" s="40" t="s">
        <v>267</v>
      </c>
      <c r="D38" s="38" t="s">
        <v>246</v>
      </c>
      <c r="E38" s="38" t="s">
        <v>264</v>
      </c>
      <c r="F38" s="38" t="s">
        <v>12</v>
      </c>
      <c r="G38" s="38" t="s">
        <v>13</v>
      </c>
      <c r="H38" s="166">
        <v>0</v>
      </c>
      <c r="I38" s="166">
        <v>0</v>
      </c>
      <c r="J38" s="166">
        <v>0</v>
      </c>
    </row>
    <row r="39" spans="1:10" ht="90" x14ac:dyDescent="0.25">
      <c r="A39" s="38">
        <v>2</v>
      </c>
      <c r="B39" s="38" t="s">
        <v>22</v>
      </c>
      <c r="C39" s="40" t="s">
        <v>268</v>
      </c>
      <c r="D39" s="38" t="s">
        <v>246</v>
      </c>
      <c r="E39" s="38" t="s">
        <v>264</v>
      </c>
      <c r="F39" s="38" t="s">
        <v>12</v>
      </c>
      <c r="G39" s="38" t="s">
        <v>13</v>
      </c>
      <c r="H39" s="166">
        <v>0</v>
      </c>
      <c r="I39" s="166">
        <v>0</v>
      </c>
      <c r="J39" s="166">
        <v>0</v>
      </c>
    </row>
    <row r="40" spans="1:10" ht="78.75" x14ac:dyDescent="0.25">
      <c r="A40" s="38">
        <v>3</v>
      </c>
      <c r="B40" s="38" t="s">
        <v>23</v>
      </c>
      <c r="C40" s="40" t="s">
        <v>269</v>
      </c>
      <c r="D40" s="38" t="s">
        <v>246</v>
      </c>
      <c r="E40" s="38" t="s">
        <v>264</v>
      </c>
      <c r="F40" s="38" t="s">
        <v>12</v>
      </c>
      <c r="G40" s="38" t="s">
        <v>13</v>
      </c>
      <c r="H40" s="166">
        <v>0</v>
      </c>
      <c r="I40" s="166">
        <v>0</v>
      </c>
      <c r="J40" s="166">
        <v>0</v>
      </c>
    </row>
    <row r="41" spans="1:10" x14ac:dyDescent="0.25">
      <c r="A41" s="43"/>
      <c r="B41" s="43" t="s">
        <v>24</v>
      </c>
      <c r="C41" s="43"/>
      <c r="D41" s="43"/>
      <c r="E41" s="43"/>
      <c r="F41" s="164">
        <f>F37+F34+F32+F24+F21+F12+F3</f>
        <v>22108738.279999997</v>
      </c>
      <c r="G41" s="164">
        <f t="shared" ref="G41:I41" si="1">G37+G34+G32+G24+G21+G12+G3</f>
        <v>0</v>
      </c>
      <c r="H41" s="164">
        <f t="shared" si="1"/>
        <v>4516.3903916666668</v>
      </c>
      <c r="I41" s="164">
        <f t="shared" si="1"/>
        <v>256.75</v>
      </c>
      <c r="J41" s="164">
        <f>J37+J34+J32+J24+J21+J12+J3</f>
        <v>2019.9430200000002</v>
      </c>
    </row>
  </sheetData>
  <mergeCells count="2">
    <mergeCell ref="F1:F2"/>
    <mergeCell ref="G1:G2"/>
  </mergeCells>
  <conditionalFormatting sqref="A38:A40">
    <cfRule type="containsBlanks" dxfId="39" priority="45">
      <formula>LEN(TRIM(A38))=0</formula>
    </cfRule>
  </conditionalFormatting>
  <conditionalFormatting sqref="B25:J27 B29:J31 B28:F28 H28:J28">
    <cfRule type="containsBlanks" dxfId="38" priority="42">
      <formula>LEN(TRIM(B25))=0</formula>
    </cfRule>
  </conditionalFormatting>
  <conditionalFormatting sqref="A35:A36">
    <cfRule type="containsBlanks" dxfId="37" priority="43">
      <formula>LEN(TRIM(A35))=0</formula>
    </cfRule>
  </conditionalFormatting>
  <conditionalFormatting sqref="A25:A31">
    <cfRule type="containsBlanks" dxfId="36" priority="41">
      <formula>LEN(TRIM(A25))=0</formula>
    </cfRule>
  </conditionalFormatting>
  <conditionalFormatting sqref="B13:B14 B19:J19 C18:G18 E13:J14">
    <cfRule type="containsBlanks" dxfId="35" priority="40">
      <formula>LEN(TRIM(B13))=0</formula>
    </cfRule>
  </conditionalFormatting>
  <conditionalFormatting sqref="A13:A19">
    <cfRule type="containsBlanks" dxfId="34" priority="39">
      <formula>LEN(TRIM(A13))=0</formula>
    </cfRule>
  </conditionalFormatting>
  <conditionalFormatting sqref="E4:J5">
    <cfRule type="containsBlanks" dxfId="33" priority="38">
      <formula>LEN(TRIM(E4))=0</formula>
    </cfRule>
  </conditionalFormatting>
  <conditionalFormatting sqref="A4:A11">
    <cfRule type="containsBlanks" dxfId="32" priority="37">
      <formula>LEN(TRIM(A4))=0</formula>
    </cfRule>
  </conditionalFormatting>
  <conditionalFormatting sqref="D4 D13:D14">
    <cfRule type="containsBlanks" dxfId="31" priority="22">
      <formula>LEN(TRIM(D4))=0</formula>
    </cfRule>
  </conditionalFormatting>
  <conditionalFormatting sqref="B7:J11 E6:F6">
    <cfRule type="containsBlanks" dxfId="30" priority="27">
      <formula>LEN(TRIM(B6))=0</formula>
    </cfRule>
  </conditionalFormatting>
  <conditionalFormatting sqref="B35:J36">
    <cfRule type="containsBlanks" dxfId="29" priority="23">
      <formula>LEN(TRIM(B35))=0</formula>
    </cfRule>
  </conditionalFormatting>
  <conditionalFormatting sqref="B18">
    <cfRule type="containsBlanks" dxfId="28" priority="24">
      <formula>LEN(TRIM(B18))=0</formula>
    </cfRule>
  </conditionalFormatting>
  <conditionalFormatting sqref="B15:J16">
    <cfRule type="containsBlanks" dxfId="27" priority="17">
      <formula>LEN(TRIM(B15))=0</formula>
    </cfRule>
  </conditionalFormatting>
  <conditionalFormatting sqref="B38:C40 F38:J40">
    <cfRule type="containsBlanks" dxfId="26" priority="21">
      <formula>LEN(TRIM(B38))=0</formula>
    </cfRule>
  </conditionalFormatting>
  <conditionalFormatting sqref="D5">
    <cfRule type="containsBlanks" dxfId="25" priority="11">
      <formula>LEN(TRIM(D5))=0</formula>
    </cfRule>
  </conditionalFormatting>
  <conditionalFormatting sqref="D38:D40">
    <cfRule type="containsBlanks" dxfId="24" priority="19">
      <formula>LEN(TRIM(D38))=0</formula>
    </cfRule>
  </conditionalFormatting>
  <conditionalFormatting sqref="E38:E40">
    <cfRule type="containsBlanks" dxfId="23" priority="18">
      <formula>LEN(TRIM(E38))=0</formula>
    </cfRule>
  </conditionalFormatting>
  <conditionalFormatting sqref="C17:G17">
    <cfRule type="containsBlanks" dxfId="22" priority="16">
      <formula>LEN(TRIM(C17))=0</formula>
    </cfRule>
  </conditionalFormatting>
  <conditionalFormatting sqref="B17">
    <cfRule type="containsBlanks" dxfId="21" priority="15">
      <formula>LEN(TRIM(B17))=0</formula>
    </cfRule>
  </conditionalFormatting>
  <conditionalFormatting sqref="H17:J18">
    <cfRule type="containsBlanks" dxfId="20" priority="14">
      <formula>LEN(TRIM(H17))=0</formula>
    </cfRule>
  </conditionalFormatting>
  <conditionalFormatting sqref="C13">
    <cfRule type="containsBlanks" dxfId="19" priority="13">
      <formula>LEN(TRIM(C13))=0</formula>
    </cfRule>
  </conditionalFormatting>
  <conditionalFormatting sqref="H6:J6">
    <cfRule type="containsBlanks" dxfId="18" priority="12">
      <formula>LEN(TRIM(H6))=0</formula>
    </cfRule>
  </conditionalFormatting>
  <conditionalFormatting sqref="B4:C6">
    <cfRule type="containsBlanks" dxfId="17" priority="9">
      <formula>LEN(TRIM(B4))=0</formula>
    </cfRule>
  </conditionalFormatting>
  <conditionalFormatting sqref="D6">
    <cfRule type="containsBlanks" dxfId="16" priority="8">
      <formula>LEN(TRIM(D6))=0</formula>
    </cfRule>
  </conditionalFormatting>
  <conditionalFormatting sqref="G6">
    <cfRule type="containsBlanks" dxfId="15" priority="7">
      <formula>LEN(TRIM(G6))=0</formula>
    </cfRule>
  </conditionalFormatting>
  <conditionalFormatting sqref="A22:A23">
    <cfRule type="containsBlanks" dxfId="14" priority="6">
      <formula>LEN(TRIM(A22))=0</formula>
    </cfRule>
  </conditionalFormatting>
  <conditionalFormatting sqref="C22:G23">
    <cfRule type="containsBlanks" dxfId="13" priority="5">
      <formula>LEN(TRIM(C22))=0</formula>
    </cfRule>
  </conditionalFormatting>
  <conditionalFormatting sqref="B22:B23">
    <cfRule type="containsBlanks" dxfId="12" priority="4">
      <formula>LEN(TRIM(B22))=0</formula>
    </cfRule>
  </conditionalFormatting>
  <conditionalFormatting sqref="H22:J23">
    <cfRule type="containsBlanks" dxfId="11" priority="3">
      <formula>LEN(TRIM(H22))=0</formula>
    </cfRule>
  </conditionalFormatting>
  <conditionalFormatting sqref="G28">
    <cfRule type="containsBlanks" dxfId="10" priority="2">
      <formula>LEN(TRIM(G28))=0</formula>
    </cfRule>
  </conditionalFormatting>
  <conditionalFormatting sqref="C14">
    <cfRule type="containsBlanks" dxfId="9" priority="1">
      <formula>LEN(TRIM(C14))=0</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6"/>
  <sheetViews>
    <sheetView topLeftCell="A26" zoomScale="85" zoomScaleNormal="85" workbookViewId="0">
      <selection activeCell="C19" sqref="C19"/>
    </sheetView>
  </sheetViews>
  <sheetFormatPr defaultColWidth="0" defaultRowHeight="15" x14ac:dyDescent="0.25"/>
  <cols>
    <col min="1" max="1" width="4.7109375" customWidth="1"/>
    <col min="2" max="2" width="18.7109375" customWidth="1"/>
    <col min="3" max="3" width="53.28515625" customWidth="1"/>
    <col min="4" max="4" width="12.85546875" customWidth="1"/>
    <col min="5" max="5" width="9.140625" customWidth="1"/>
    <col min="6" max="6" width="18.85546875" customWidth="1"/>
    <col min="7" max="7" width="16.85546875" customWidth="1"/>
    <col min="8" max="8" width="10" bestFit="1" customWidth="1"/>
    <col min="9" max="10" width="9.140625" customWidth="1"/>
    <col min="11" max="16384" width="9.140625" hidden="1"/>
  </cols>
  <sheetData>
    <row r="1" spans="1:10" ht="56.25" x14ac:dyDescent="0.25">
      <c r="A1" s="30" t="s">
        <v>0</v>
      </c>
      <c r="B1" s="31" t="s">
        <v>1</v>
      </c>
      <c r="C1" s="32" t="s">
        <v>2</v>
      </c>
      <c r="D1" s="31" t="s">
        <v>3</v>
      </c>
      <c r="E1" s="31" t="s">
        <v>4</v>
      </c>
      <c r="F1" s="189" t="s">
        <v>5</v>
      </c>
      <c r="G1" s="189" t="s">
        <v>6</v>
      </c>
      <c r="H1" s="31" t="s">
        <v>63</v>
      </c>
      <c r="I1" s="31" t="s">
        <v>351</v>
      </c>
      <c r="J1" s="31" t="s">
        <v>64</v>
      </c>
    </row>
    <row r="2" spans="1:10" x14ac:dyDescent="0.25">
      <c r="A2" s="30" t="s">
        <v>13</v>
      </c>
      <c r="B2" s="31" t="s">
        <v>13</v>
      </c>
      <c r="C2" s="32" t="s">
        <v>13</v>
      </c>
      <c r="D2" s="31" t="s">
        <v>13</v>
      </c>
      <c r="E2" s="31" t="s">
        <v>13</v>
      </c>
      <c r="F2" s="189"/>
      <c r="G2" s="189"/>
      <c r="H2" s="31" t="s">
        <v>9</v>
      </c>
      <c r="I2" s="31" t="s">
        <v>9</v>
      </c>
      <c r="J2" s="31" t="s">
        <v>10</v>
      </c>
    </row>
    <row r="3" spans="1:10" ht="22.5" x14ac:dyDescent="0.25">
      <c r="A3" s="33" t="s">
        <v>13</v>
      </c>
      <c r="B3" s="34" t="s">
        <v>11</v>
      </c>
      <c r="C3" s="34" t="s">
        <v>13</v>
      </c>
      <c r="D3" s="34" t="s">
        <v>13</v>
      </c>
      <c r="E3" s="34" t="s">
        <v>13</v>
      </c>
      <c r="F3" s="36">
        <f>SUM(F4:F16)</f>
        <v>19573459.73</v>
      </c>
      <c r="G3" s="34" t="s">
        <v>13</v>
      </c>
      <c r="H3" s="165">
        <f>SUM(H4:H16)</f>
        <v>2643.3700000000003</v>
      </c>
      <c r="I3" s="165">
        <f>SUM(I4:I16)</f>
        <v>1657.2000000000003</v>
      </c>
      <c r="J3" s="165">
        <f>SUM(J4:J16)</f>
        <v>1502.4894320000003</v>
      </c>
    </row>
    <row r="4" spans="1:10" ht="67.5" x14ac:dyDescent="0.25">
      <c r="A4" s="37">
        <v>1</v>
      </c>
      <c r="B4" s="38" t="s">
        <v>289</v>
      </c>
      <c r="C4" s="40" t="s">
        <v>298</v>
      </c>
      <c r="D4" s="38" t="s">
        <v>238</v>
      </c>
      <c r="E4" s="38" t="s">
        <v>299</v>
      </c>
      <c r="F4" s="39">
        <v>167125.19</v>
      </c>
      <c r="G4" s="38" t="s">
        <v>300</v>
      </c>
      <c r="H4" s="166">
        <v>12.1</v>
      </c>
      <c r="I4" s="166">
        <v>147.30000000000001</v>
      </c>
      <c r="J4" s="166">
        <v>38.9</v>
      </c>
    </row>
    <row r="5" spans="1:10" ht="56.25" x14ac:dyDescent="0.25">
      <c r="A5" s="37">
        <v>2</v>
      </c>
      <c r="B5" s="38" t="s">
        <v>290</v>
      </c>
      <c r="C5" s="40" t="s">
        <v>306</v>
      </c>
      <c r="D5" s="38" t="s">
        <v>238</v>
      </c>
      <c r="E5" s="38" t="s">
        <v>299</v>
      </c>
      <c r="F5" s="39">
        <v>478110.46</v>
      </c>
      <c r="G5" s="38" t="s">
        <v>300</v>
      </c>
      <c r="H5" s="166">
        <v>37.9</v>
      </c>
      <c r="I5" s="166">
        <v>139</v>
      </c>
      <c r="J5" s="166">
        <v>53.72</v>
      </c>
    </row>
    <row r="6" spans="1:10" ht="67.5" x14ac:dyDescent="0.25">
      <c r="A6" s="37">
        <v>3</v>
      </c>
      <c r="B6" s="38" t="s">
        <v>291</v>
      </c>
      <c r="C6" s="40" t="s">
        <v>307</v>
      </c>
      <c r="D6" s="38" t="s">
        <v>238</v>
      </c>
      <c r="E6" s="38" t="s">
        <v>299</v>
      </c>
      <c r="F6" s="39">
        <v>753320.43</v>
      </c>
      <c r="G6" s="38" t="s">
        <v>300</v>
      </c>
      <c r="H6" s="166">
        <v>123.8</v>
      </c>
      <c r="I6" s="166">
        <v>37.1</v>
      </c>
      <c r="J6" s="166">
        <v>55.81</v>
      </c>
    </row>
    <row r="7" spans="1:10" ht="67.5" x14ac:dyDescent="0.25">
      <c r="A7" s="37">
        <v>4</v>
      </c>
      <c r="B7" s="38" t="s">
        <v>292</v>
      </c>
      <c r="C7" s="40" t="s">
        <v>308</v>
      </c>
      <c r="D7" s="38" t="s">
        <v>238</v>
      </c>
      <c r="E7" s="38" t="s">
        <v>299</v>
      </c>
      <c r="F7" s="39">
        <v>706983.4</v>
      </c>
      <c r="G7" s="38" t="s">
        <v>300</v>
      </c>
      <c r="H7" s="166">
        <v>192.7</v>
      </c>
      <c r="I7" s="166">
        <v>40.799999999999997</v>
      </c>
      <c r="J7" s="166">
        <v>81.37</v>
      </c>
    </row>
    <row r="8" spans="1:10" ht="78.75" x14ac:dyDescent="0.25">
      <c r="A8" s="37">
        <v>5</v>
      </c>
      <c r="B8" s="38" t="s">
        <v>293</v>
      </c>
      <c r="C8" s="40" t="s">
        <v>305</v>
      </c>
      <c r="D8" s="38" t="s">
        <v>238</v>
      </c>
      <c r="E8" s="38" t="s">
        <v>299</v>
      </c>
      <c r="F8" s="39">
        <v>521666.59</v>
      </c>
      <c r="G8" s="38" t="s">
        <v>300</v>
      </c>
      <c r="H8" s="166">
        <v>122.9</v>
      </c>
      <c r="I8" s="166">
        <v>38.6</v>
      </c>
      <c r="J8" s="166">
        <v>56.21</v>
      </c>
    </row>
    <row r="9" spans="1:10" ht="67.5" x14ac:dyDescent="0.25">
      <c r="A9" s="37">
        <v>6</v>
      </c>
      <c r="B9" s="38" t="s">
        <v>294</v>
      </c>
      <c r="C9" s="40" t="s">
        <v>304</v>
      </c>
      <c r="D9" s="38" t="s">
        <v>238</v>
      </c>
      <c r="E9" s="38" t="s">
        <v>299</v>
      </c>
      <c r="F9" s="39">
        <v>497828.32</v>
      </c>
      <c r="G9" s="38" t="s">
        <v>300</v>
      </c>
      <c r="H9" s="166">
        <v>79</v>
      </c>
      <c r="I9" s="166">
        <v>104.8</v>
      </c>
      <c r="J9" s="166">
        <v>57.21</v>
      </c>
    </row>
    <row r="10" spans="1:10" ht="67.5" x14ac:dyDescent="0.25">
      <c r="A10" s="37">
        <v>7</v>
      </c>
      <c r="B10" s="38" t="s">
        <v>295</v>
      </c>
      <c r="C10" s="40" t="s">
        <v>303</v>
      </c>
      <c r="D10" s="38" t="s">
        <v>238</v>
      </c>
      <c r="E10" s="38" t="s">
        <v>299</v>
      </c>
      <c r="F10" s="39">
        <v>838335.84</v>
      </c>
      <c r="G10" s="38" t="s">
        <v>300</v>
      </c>
      <c r="H10" s="166">
        <v>203.5</v>
      </c>
      <c r="I10" s="166">
        <v>40.4</v>
      </c>
      <c r="J10" s="166">
        <v>82.62</v>
      </c>
    </row>
    <row r="11" spans="1:10" ht="101.25" x14ac:dyDescent="0.25">
      <c r="A11" s="37">
        <v>8</v>
      </c>
      <c r="B11" s="38" t="s">
        <v>296</v>
      </c>
      <c r="C11" s="40" t="s">
        <v>302</v>
      </c>
      <c r="D11" s="38" t="s">
        <v>238</v>
      </c>
      <c r="E11" s="38" t="s">
        <v>299</v>
      </c>
      <c r="F11" s="39">
        <v>1627481.78</v>
      </c>
      <c r="G11" s="38" t="s">
        <v>300</v>
      </c>
      <c r="H11" s="166">
        <v>204.3</v>
      </c>
      <c r="I11" s="166">
        <v>48</v>
      </c>
      <c r="J11" s="166">
        <v>92.12</v>
      </c>
    </row>
    <row r="12" spans="1:10" ht="90" x14ac:dyDescent="0.25">
      <c r="A12" s="37">
        <v>9</v>
      </c>
      <c r="B12" s="38" t="s">
        <v>297</v>
      </c>
      <c r="C12" s="40" t="s">
        <v>301</v>
      </c>
      <c r="D12" s="38" t="s">
        <v>238</v>
      </c>
      <c r="E12" s="38" t="s">
        <v>299</v>
      </c>
      <c r="F12" s="39">
        <f>1124792.65+857815.07</f>
        <v>1982607.7199999997</v>
      </c>
      <c r="G12" s="38" t="s">
        <v>300</v>
      </c>
      <c r="H12" s="166">
        <v>309.2</v>
      </c>
      <c r="I12" s="166">
        <v>92.2</v>
      </c>
      <c r="J12" s="166">
        <v>102.25</v>
      </c>
    </row>
    <row r="13" spans="1:10" ht="146.25" x14ac:dyDescent="0.25">
      <c r="A13" s="37">
        <v>10</v>
      </c>
      <c r="B13" s="38" t="s">
        <v>309</v>
      </c>
      <c r="C13" s="40" t="s">
        <v>310</v>
      </c>
      <c r="D13" s="38" t="s">
        <v>206</v>
      </c>
      <c r="E13" s="38" t="s">
        <v>311</v>
      </c>
      <c r="F13" s="39">
        <v>12000000</v>
      </c>
      <c r="G13" s="38" t="s">
        <v>227</v>
      </c>
      <c r="H13" s="166">
        <v>950</v>
      </c>
      <c r="I13" s="166">
        <v>950</v>
      </c>
      <c r="J13" s="166">
        <v>726.75</v>
      </c>
    </row>
    <row r="14" spans="1:10" ht="90" x14ac:dyDescent="0.25">
      <c r="A14" s="37">
        <v>11</v>
      </c>
      <c r="B14" s="38" t="s">
        <v>312</v>
      </c>
      <c r="C14" s="40" t="s">
        <v>313</v>
      </c>
      <c r="D14" s="38" t="s">
        <v>206</v>
      </c>
      <c r="E14" s="38" t="s">
        <v>311</v>
      </c>
      <c r="F14" s="39" t="s">
        <v>314</v>
      </c>
      <c r="G14" s="38" t="s">
        <v>227</v>
      </c>
      <c r="H14" s="166">
        <v>123.9</v>
      </c>
      <c r="I14" s="166">
        <v>0</v>
      </c>
      <c r="J14" s="166">
        <v>42.819840000000006</v>
      </c>
    </row>
    <row r="15" spans="1:10" ht="78.75" x14ac:dyDescent="0.25">
      <c r="A15" s="37">
        <v>12</v>
      </c>
      <c r="B15" s="38" t="s">
        <v>315</v>
      </c>
      <c r="C15" s="40" t="s">
        <v>316</v>
      </c>
      <c r="D15" s="38" t="s">
        <v>206</v>
      </c>
      <c r="E15" s="38" t="s">
        <v>311</v>
      </c>
      <c r="F15" s="39" t="s">
        <v>317</v>
      </c>
      <c r="G15" s="38" t="s">
        <v>227</v>
      </c>
      <c r="H15" s="166">
        <v>90.57</v>
      </c>
      <c r="I15" s="166">
        <v>19</v>
      </c>
      <c r="J15" s="166">
        <v>45.835991999999997</v>
      </c>
    </row>
    <row r="16" spans="1:10" ht="90" x14ac:dyDescent="0.25">
      <c r="A16" s="37">
        <v>13</v>
      </c>
      <c r="B16" s="38" t="s">
        <v>318</v>
      </c>
      <c r="C16" s="40" t="s">
        <v>313</v>
      </c>
      <c r="D16" s="38" t="s">
        <v>206</v>
      </c>
      <c r="E16" s="38" t="s">
        <v>311</v>
      </c>
      <c r="F16" s="39" t="s">
        <v>319</v>
      </c>
      <c r="G16" s="38" t="s">
        <v>227</v>
      </c>
      <c r="H16" s="166">
        <v>193.5</v>
      </c>
      <c r="I16" s="166">
        <v>0</v>
      </c>
      <c r="J16" s="166">
        <v>66.87360000000001</v>
      </c>
    </row>
    <row r="17" spans="1:10" x14ac:dyDescent="0.25">
      <c r="A17" s="33" t="s">
        <v>13</v>
      </c>
      <c r="B17" s="34" t="s">
        <v>14</v>
      </c>
      <c r="C17" s="33" t="s">
        <v>13</v>
      </c>
      <c r="D17" s="33" t="s">
        <v>13</v>
      </c>
      <c r="E17" s="33" t="s">
        <v>13</v>
      </c>
      <c r="F17" s="41">
        <f>SUM(F18:F20)</f>
        <v>5591700</v>
      </c>
      <c r="G17" s="33" t="s">
        <v>13</v>
      </c>
      <c r="H17" s="165">
        <f>SUM(H18:H20)</f>
        <v>1571</v>
      </c>
      <c r="I17" s="165">
        <f>SUM(I18:I20)</f>
        <v>30</v>
      </c>
      <c r="J17" s="165">
        <f>SUM(J18:J20)</f>
        <v>1193.3200000000002</v>
      </c>
    </row>
    <row r="18" spans="1:10" s="177" customFormat="1" ht="123.75" x14ac:dyDescent="0.25">
      <c r="A18" s="170">
        <v>1</v>
      </c>
      <c r="B18" s="174" t="s">
        <v>320</v>
      </c>
      <c r="C18" s="178" t="s">
        <v>321</v>
      </c>
      <c r="D18" s="174" t="s">
        <v>254</v>
      </c>
      <c r="E18" s="174" t="s">
        <v>104</v>
      </c>
      <c r="F18" s="179">
        <v>1251700</v>
      </c>
      <c r="G18" s="174" t="s">
        <v>247</v>
      </c>
      <c r="H18" s="176">
        <v>701</v>
      </c>
      <c r="I18" s="176">
        <v>14</v>
      </c>
      <c r="J18" s="176">
        <v>568</v>
      </c>
    </row>
    <row r="19" spans="1:10" ht="78.75" x14ac:dyDescent="0.25">
      <c r="A19" s="37">
        <v>2</v>
      </c>
      <c r="B19" s="38" t="s">
        <v>252</v>
      </c>
      <c r="C19" s="40" t="s">
        <v>322</v>
      </c>
      <c r="D19" s="38" t="s">
        <v>254</v>
      </c>
      <c r="E19" s="38" t="s">
        <v>343</v>
      </c>
      <c r="F19" s="39">
        <v>3710000</v>
      </c>
      <c r="G19" s="38" t="s">
        <v>255</v>
      </c>
      <c r="H19" s="166">
        <v>168</v>
      </c>
      <c r="I19" s="166">
        <v>2</v>
      </c>
      <c r="J19" s="166">
        <v>57.32</v>
      </c>
    </row>
    <row r="20" spans="1:10" ht="67.5" x14ac:dyDescent="0.25">
      <c r="A20" s="37">
        <v>3</v>
      </c>
      <c r="B20" s="180" t="s">
        <v>347</v>
      </c>
      <c r="C20" s="40" t="s">
        <v>348</v>
      </c>
      <c r="D20" s="38" t="s">
        <v>254</v>
      </c>
      <c r="E20" s="38" t="s">
        <v>343</v>
      </c>
      <c r="F20" s="39">
        <v>630000</v>
      </c>
      <c r="G20" s="180" t="s">
        <v>349</v>
      </c>
      <c r="H20" s="166">
        <v>702</v>
      </c>
      <c r="I20" s="166">
        <v>14</v>
      </c>
      <c r="J20" s="166">
        <v>568</v>
      </c>
    </row>
    <row r="21" spans="1:10" x14ac:dyDescent="0.25">
      <c r="A21" s="33" t="s">
        <v>13</v>
      </c>
      <c r="B21" s="214"/>
      <c r="C21" s="33" t="s">
        <v>13</v>
      </c>
      <c r="D21" s="33" t="s">
        <v>13</v>
      </c>
      <c r="E21" s="33" t="s">
        <v>13</v>
      </c>
      <c r="F21" s="41">
        <f>SUM(F22:F24)</f>
        <v>250331270.88999999</v>
      </c>
      <c r="G21" s="33" t="s">
        <v>13</v>
      </c>
      <c r="H21" s="165">
        <f>SUM(H22:H24)</f>
        <v>5545</v>
      </c>
      <c r="I21" s="165">
        <f>SUM(I22:I24)</f>
        <v>6040.76</v>
      </c>
      <c r="J21" s="165">
        <f>SUM(J22:J24)</f>
        <v>6037</v>
      </c>
    </row>
    <row r="22" spans="1:10" ht="33.75" x14ac:dyDescent="0.25">
      <c r="A22" s="37">
        <v>1</v>
      </c>
      <c r="B22" s="38" t="s">
        <v>335</v>
      </c>
      <c r="C22" s="40" t="s">
        <v>336</v>
      </c>
      <c r="D22" s="38" t="s">
        <v>337</v>
      </c>
      <c r="E22" s="38">
        <v>2021</v>
      </c>
      <c r="F22" s="39">
        <v>200000</v>
      </c>
      <c r="G22" s="38" t="s">
        <v>61</v>
      </c>
      <c r="H22" s="166">
        <v>10</v>
      </c>
      <c r="I22" s="166">
        <v>0</v>
      </c>
      <c r="J22" s="166">
        <v>8</v>
      </c>
    </row>
    <row r="23" spans="1:10" ht="281.25" x14ac:dyDescent="0.25">
      <c r="A23" s="37">
        <v>2</v>
      </c>
      <c r="B23" s="38" t="s">
        <v>340</v>
      </c>
      <c r="C23" s="40" t="s">
        <v>341</v>
      </c>
      <c r="D23" s="38" t="s">
        <v>342</v>
      </c>
      <c r="E23" s="38" t="s">
        <v>343</v>
      </c>
      <c r="F23" s="39">
        <v>250000000</v>
      </c>
      <c r="G23" s="38" t="s">
        <v>344</v>
      </c>
      <c r="H23" s="166">
        <v>5500</v>
      </c>
      <c r="I23" s="166">
        <v>6000</v>
      </c>
      <c r="J23" s="166">
        <v>6000</v>
      </c>
    </row>
    <row r="24" spans="1:10" ht="22.5" x14ac:dyDescent="0.25">
      <c r="A24" s="37">
        <v>3</v>
      </c>
      <c r="B24" s="38" t="s">
        <v>338</v>
      </c>
      <c r="C24" s="40" t="s">
        <v>339</v>
      </c>
      <c r="D24" s="38" t="s">
        <v>337</v>
      </c>
      <c r="E24" s="38">
        <v>2021</v>
      </c>
      <c r="F24" s="39">
        <v>131270.89000000001</v>
      </c>
      <c r="G24" s="38" t="s">
        <v>61</v>
      </c>
      <c r="H24" s="166">
        <v>35</v>
      </c>
      <c r="I24" s="166">
        <v>40.76</v>
      </c>
      <c r="J24" s="166">
        <v>29</v>
      </c>
    </row>
    <row r="25" spans="1:10" x14ac:dyDescent="0.25">
      <c r="A25" s="33" t="s">
        <v>13</v>
      </c>
      <c r="B25" s="34" t="s">
        <v>16</v>
      </c>
      <c r="C25" s="33" t="s">
        <v>13</v>
      </c>
      <c r="D25" s="33" t="s">
        <v>13</v>
      </c>
      <c r="E25" s="33" t="s">
        <v>13</v>
      </c>
      <c r="F25" s="41">
        <f>SUM(F26:F27)</f>
        <v>118000000</v>
      </c>
      <c r="G25" s="33" t="s">
        <v>13</v>
      </c>
      <c r="H25" s="165">
        <f>SUM(H26:H27)</f>
        <v>0</v>
      </c>
      <c r="I25" s="165">
        <f t="shared" ref="I25:J25" si="0">SUM(I26:I27)</f>
        <v>0</v>
      </c>
      <c r="J25" s="165">
        <f t="shared" si="0"/>
        <v>0</v>
      </c>
    </row>
    <row r="26" spans="1:10" ht="180" x14ac:dyDescent="0.25">
      <c r="A26" s="37">
        <v>1</v>
      </c>
      <c r="B26" s="38" t="s">
        <v>323</v>
      </c>
      <c r="C26" s="40" t="s">
        <v>323</v>
      </c>
      <c r="D26" s="38" t="s">
        <v>206</v>
      </c>
      <c r="E26" s="38" t="s">
        <v>311</v>
      </c>
      <c r="F26" s="39">
        <v>106000000</v>
      </c>
      <c r="G26" s="38" t="s">
        <v>227</v>
      </c>
      <c r="H26" s="166">
        <v>0</v>
      </c>
      <c r="I26" s="166">
        <v>0</v>
      </c>
      <c r="J26" s="166">
        <v>0</v>
      </c>
    </row>
    <row r="27" spans="1:10" ht="180" x14ac:dyDescent="0.25">
      <c r="A27" s="37">
        <v>2</v>
      </c>
      <c r="B27" s="38" t="s">
        <v>324</v>
      </c>
      <c r="C27" s="40" t="s">
        <v>324</v>
      </c>
      <c r="D27" s="38" t="s">
        <v>206</v>
      </c>
      <c r="E27" s="38" t="s">
        <v>311</v>
      </c>
      <c r="F27" s="39">
        <v>12000000</v>
      </c>
      <c r="G27" s="38" t="s">
        <v>227</v>
      </c>
      <c r="H27" s="166">
        <v>0</v>
      </c>
      <c r="I27" s="166">
        <v>0</v>
      </c>
      <c r="J27" s="166">
        <v>0</v>
      </c>
    </row>
    <row r="28" spans="1:10" ht="19.5" hidden="1" customHeight="1" x14ac:dyDescent="0.25">
      <c r="A28" s="37">
        <v>4</v>
      </c>
      <c r="B28" s="38"/>
      <c r="C28" s="40"/>
      <c r="D28" s="38"/>
      <c r="E28" s="38"/>
      <c r="F28" s="39"/>
      <c r="G28" s="38"/>
      <c r="H28" s="166"/>
      <c r="I28" s="166"/>
      <c r="J28" s="166"/>
    </row>
    <row r="29" spans="1:10" x14ac:dyDescent="0.25">
      <c r="A29" s="33" t="s">
        <v>13</v>
      </c>
      <c r="B29" s="34" t="s">
        <v>17</v>
      </c>
      <c r="C29" s="33" t="s">
        <v>13</v>
      </c>
      <c r="D29" s="33" t="s">
        <v>13</v>
      </c>
      <c r="E29" s="33" t="s">
        <v>13</v>
      </c>
      <c r="F29" s="41">
        <v>0</v>
      </c>
      <c r="G29" s="33" t="s">
        <v>13</v>
      </c>
      <c r="H29" s="165">
        <f>H30</f>
        <v>0</v>
      </c>
      <c r="I29" s="165">
        <f>I30</f>
        <v>0</v>
      </c>
      <c r="J29" s="165">
        <f>J30</f>
        <v>0</v>
      </c>
    </row>
    <row r="30" spans="1:10" ht="15" hidden="1" customHeight="1" x14ac:dyDescent="0.25">
      <c r="A30" s="37">
        <v>1</v>
      </c>
      <c r="B30" s="38"/>
      <c r="C30" s="40"/>
      <c r="D30" s="38"/>
      <c r="E30" s="38"/>
      <c r="F30" s="39"/>
      <c r="G30" s="38"/>
      <c r="H30" s="166"/>
      <c r="I30" s="166"/>
      <c r="J30" s="166"/>
    </row>
    <row r="31" spans="1:10" x14ac:dyDescent="0.25">
      <c r="A31" s="33" t="s">
        <v>13</v>
      </c>
      <c r="B31" s="34" t="s">
        <v>18</v>
      </c>
      <c r="C31" s="33" t="s">
        <v>13</v>
      </c>
      <c r="D31" s="33" t="s">
        <v>13</v>
      </c>
      <c r="E31" s="33" t="s">
        <v>13</v>
      </c>
      <c r="F31" s="41">
        <v>0</v>
      </c>
      <c r="G31" s="33" t="s">
        <v>13</v>
      </c>
      <c r="H31" s="165">
        <v>0</v>
      </c>
      <c r="I31" s="165">
        <v>0</v>
      </c>
      <c r="J31" s="165">
        <v>0</v>
      </c>
    </row>
    <row r="32" spans="1:10" ht="22.5" x14ac:dyDescent="0.25">
      <c r="A32" s="33" t="s">
        <v>13</v>
      </c>
      <c r="B32" s="34" t="s">
        <v>21</v>
      </c>
      <c r="C32" s="33" t="s">
        <v>13</v>
      </c>
      <c r="D32" s="33" t="s">
        <v>13</v>
      </c>
      <c r="E32" s="33" t="s">
        <v>13</v>
      </c>
      <c r="F32" s="41">
        <v>0</v>
      </c>
      <c r="G32" s="33" t="s">
        <v>13</v>
      </c>
      <c r="H32" s="165">
        <v>0</v>
      </c>
      <c r="I32" s="165">
        <v>0</v>
      </c>
      <c r="J32" s="165">
        <v>0</v>
      </c>
    </row>
    <row r="33" spans="1:10" hidden="1" x14ac:dyDescent="0.25">
      <c r="A33" s="37">
        <v>4</v>
      </c>
      <c r="B33" s="38"/>
      <c r="C33" s="40"/>
      <c r="D33" s="38"/>
      <c r="E33" s="38"/>
      <c r="F33" s="38"/>
      <c r="G33" s="38" t="s">
        <v>13</v>
      </c>
      <c r="H33" s="166"/>
      <c r="I33" s="166"/>
      <c r="J33" s="166"/>
    </row>
    <row r="34" spans="1:10" hidden="1" x14ac:dyDescent="0.25">
      <c r="A34" s="37">
        <v>5</v>
      </c>
      <c r="B34" s="38"/>
      <c r="C34" s="40"/>
      <c r="D34" s="38"/>
      <c r="E34" s="38"/>
      <c r="F34" s="38"/>
      <c r="G34" s="38" t="s">
        <v>13</v>
      </c>
      <c r="H34" s="166"/>
      <c r="I34" s="166"/>
      <c r="J34" s="166"/>
    </row>
    <row r="35" spans="1:10" hidden="1" x14ac:dyDescent="0.25">
      <c r="A35" s="37">
        <v>6</v>
      </c>
      <c r="B35" s="38"/>
      <c r="C35" s="40"/>
      <c r="D35" s="38"/>
      <c r="E35" s="38"/>
      <c r="F35" s="38"/>
      <c r="G35" s="38" t="s">
        <v>13</v>
      </c>
      <c r="H35" s="166"/>
      <c r="I35" s="166"/>
      <c r="J35" s="166"/>
    </row>
    <row r="36" spans="1:10" x14ac:dyDescent="0.25">
      <c r="A36" s="56" t="s">
        <v>13</v>
      </c>
      <c r="B36" s="31" t="s">
        <v>24</v>
      </c>
      <c r="C36" s="56" t="s">
        <v>13</v>
      </c>
      <c r="D36" s="56" t="s">
        <v>13</v>
      </c>
      <c r="E36" s="56" t="s">
        <v>13</v>
      </c>
      <c r="F36" s="168">
        <f>F32+F31+F29+F25+F21+F17+F3</f>
        <v>393496430.62</v>
      </c>
      <c r="G36" s="169" t="s">
        <v>13</v>
      </c>
      <c r="H36" s="164">
        <f>H32+H31+H29+H25+H21+H17+H3</f>
        <v>9759.3700000000008</v>
      </c>
      <c r="I36" s="164">
        <f>I32+I31+I29+I25+I21+I17+I3</f>
        <v>7727.9600000000009</v>
      </c>
      <c r="J36" s="164">
        <f>J32+J31+J29+J25+J21+J17+J3</f>
        <v>8732.809432</v>
      </c>
    </row>
  </sheetData>
  <mergeCells count="2">
    <mergeCell ref="F1:F2"/>
    <mergeCell ref="G1:G2"/>
  </mergeCells>
  <conditionalFormatting sqref="A1:J3 G26:J27 A26:E27 A18:G18 I18 A17:J17 A22:J25 A28:J36 A21 C21:J21">
    <cfRule type="containsBlanks" dxfId="8" priority="33">
      <formula>LEN(TRIM(A1))=0</formula>
    </cfRule>
  </conditionalFormatting>
  <conditionalFormatting sqref="J18">
    <cfRule type="containsBlanks" dxfId="7" priority="20">
      <formula>LEN(TRIM(J18))=0</formula>
    </cfRule>
  </conditionalFormatting>
  <conditionalFormatting sqref="A19:B19 D19:J19 A20 D20:F20 H20:J20">
    <cfRule type="containsBlanks" dxfId="6" priority="30">
      <formula>LEN(TRIM(A19))=0</formula>
    </cfRule>
  </conditionalFormatting>
  <conditionalFormatting sqref="F26:F27">
    <cfRule type="containsBlanks" dxfId="5" priority="17">
      <formula>LEN(TRIM(F26))=0</formula>
    </cfRule>
  </conditionalFormatting>
  <conditionalFormatting sqref="C19:C20">
    <cfRule type="containsBlanks" dxfId="4" priority="19">
      <formula>LEN(TRIM(C19))=0</formula>
    </cfRule>
  </conditionalFormatting>
  <conditionalFormatting sqref="H18">
    <cfRule type="containsBlanks" dxfId="3" priority="15">
      <formula>LEN(TRIM(H18))=0</formula>
    </cfRule>
  </conditionalFormatting>
  <conditionalFormatting sqref="I4:I16 A4:G16">
    <cfRule type="containsBlanks" dxfId="2" priority="11">
      <formula>LEN(TRIM(A4))=0</formula>
    </cfRule>
  </conditionalFormatting>
  <conditionalFormatting sqref="J4:J16">
    <cfRule type="containsBlanks" dxfId="1" priority="10">
      <formula>LEN(TRIM(J4))=0</formula>
    </cfRule>
  </conditionalFormatting>
  <conditionalFormatting sqref="H4:H16">
    <cfRule type="containsBlanks" dxfId="0" priority="9">
      <formula>LEN(TRIM(H4))=0</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55"/>
  <sheetViews>
    <sheetView zoomScale="85" zoomScaleNormal="85" workbookViewId="0">
      <selection activeCell="B19" sqref="B19"/>
    </sheetView>
  </sheetViews>
  <sheetFormatPr defaultRowHeight="15" x14ac:dyDescent="0.25"/>
  <cols>
    <col min="1" max="1" width="31.140625" bestFit="1" customWidth="1"/>
    <col min="2" max="4" width="18.7109375" style="2" customWidth="1"/>
    <col min="6" max="6" width="21.85546875" customWidth="1"/>
    <col min="7" max="10" width="20.85546875" customWidth="1"/>
    <col min="11" max="11" width="46.42578125" customWidth="1"/>
  </cols>
  <sheetData>
    <row r="1" spans="1:13" ht="51" x14ac:dyDescent="0.25">
      <c r="A1" s="18"/>
      <c r="B1" s="19" t="s">
        <v>7</v>
      </c>
      <c r="C1" s="19" t="s">
        <v>350</v>
      </c>
      <c r="D1" s="19" t="s">
        <v>8</v>
      </c>
      <c r="F1" s="24" t="s">
        <v>65</v>
      </c>
      <c r="G1" s="24" t="s">
        <v>345</v>
      </c>
      <c r="H1" s="24" t="s">
        <v>66</v>
      </c>
      <c r="I1" s="24" t="s">
        <v>67</v>
      </c>
      <c r="J1" s="24" t="s">
        <v>68</v>
      </c>
      <c r="K1" s="190" t="s">
        <v>69</v>
      </c>
      <c r="L1" s="191"/>
    </row>
    <row r="2" spans="1:13" x14ac:dyDescent="0.25">
      <c r="A2" s="20" t="s">
        <v>11</v>
      </c>
      <c r="B2" s="23">
        <f>Zrealizowane!$H$3</f>
        <v>992.56</v>
      </c>
      <c r="C2" s="23">
        <f>Zrealizowane!$I$3</f>
        <v>223.55</v>
      </c>
      <c r="D2" s="23">
        <f>Zrealizowane!$J$3</f>
        <v>974.14</v>
      </c>
      <c r="F2" s="25" t="s">
        <v>51</v>
      </c>
      <c r="G2" s="25">
        <f>'2013'!C12</f>
        <v>339279.49</v>
      </c>
      <c r="H2" s="25">
        <f>B9</f>
        <v>4516.3903916666659</v>
      </c>
      <c r="I2" s="25">
        <f>'2020'!$C$12</f>
        <v>489352.12571432797</v>
      </c>
      <c r="J2" s="25">
        <f>G2-H2</f>
        <v>334763.09960833332</v>
      </c>
      <c r="K2" s="25" t="s">
        <v>70</v>
      </c>
      <c r="L2" s="26">
        <f>(G2-J2)/G2</f>
        <v>1.3311710624378371E-2</v>
      </c>
      <c r="M2" s="9">
        <f>H2/G2</f>
        <v>1.3311710624378343E-2</v>
      </c>
    </row>
    <row r="3" spans="1:13" ht="38.25" x14ac:dyDescent="0.25">
      <c r="A3" s="20" t="s">
        <v>14</v>
      </c>
      <c r="B3" s="23">
        <f>Zrealizowane!$H$12</f>
        <v>1653.6616666666666</v>
      </c>
      <c r="C3" s="23">
        <f>Zrealizowane!$I$12</f>
        <v>8</v>
      </c>
      <c r="D3" s="23">
        <f>Zrealizowane!$J$12</f>
        <v>560.36752000000001</v>
      </c>
      <c r="F3" s="25" t="s">
        <v>71</v>
      </c>
      <c r="G3" s="25">
        <f>1083</f>
        <v>1083</v>
      </c>
      <c r="H3" s="25">
        <f>C9</f>
        <v>256.75</v>
      </c>
      <c r="I3" s="25">
        <v>0</v>
      </c>
      <c r="J3" s="25">
        <f>G3+H3</f>
        <v>1339.75</v>
      </c>
      <c r="K3" s="25" t="s">
        <v>72</v>
      </c>
      <c r="L3" s="26">
        <f>J3/$G$2-G3/G2</f>
        <v>7.5675072489645671E-4</v>
      </c>
    </row>
    <row r="4" spans="1:13" x14ac:dyDescent="0.25">
      <c r="A4" s="20" t="s">
        <v>15</v>
      </c>
      <c r="B4" s="23">
        <f>Zrealizowane!$H$21</f>
        <v>25.2</v>
      </c>
      <c r="C4" s="23">
        <f>Zrealizowane!$I$21</f>
        <v>25.2</v>
      </c>
      <c r="D4" s="23">
        <f>Zrealizowane!$J$21</f>
        <v>19.277999999999999</v>
      </c>
      <c r="F4" s="25" t="s">
        <v>73</v>
      </c>
      <c r="G4" s="25">
        <f>'2013'!G12</f>
        <v>123822</v>
      </c>
      <c r="H4" s="25">
        <f>D9</f>
        <v>2019.9430200000002</v>
      </c>
      <c r="I4" s="76">
        <f>'2020'!$G$12+H4</f>
        <v>251773.41702723174</v>
      </c>
      <c r="J4" s="25">
        <f>G4-H4</f>
        <v>121802.05697999999</v>
      </c>
      <c r="K4" s="25" t="s">
        <v>74</v>
      </c>
      <c r="L4" s="26">
        <f>(G4-J4)/G4</f>
        <v>1.6313280515578864E-2</v>
      </c>
    </row>
    <row r="5" spans="1:13" x14ac:dyDescent="0.25">
      <c r="A5" s="20" t="s">
        <v>16</v>
      </c>
      <c r="B5" s="23">
        <f>Zrealizowane!$H$24</f>
        <v>1844.9687250000002</v>
      </c>
      <c r="C5" s="23">
        <f>Zrealizowane!$I$24</f>
        <v>0</v>
      </c>
      <c r="D5" s="23">
        <f>Zrealizowane!$J$24</f>
        <v>466.15749999999997</v>
      </c>
      <c r="G5" s="9">
        <f>G3/G2</f>
        <v>3.192058559154283E-3</v>
      </c>
      <c r="J5" s="9">
        <f>J3/J2</f>
        <v>4.0020838663744089E-3</v>
      </c>
    </row>
    <row r="6" spans="1:13" hidden="1" x14ac:dyDescent="0.25">
      <c r="A6" s="20" t="s">
        <v>17</v>
      </c>
      <c r="B6" s="23">
        <f>Zrealizowane!$H$32</f>
        <v>0</v>
      </c>
      <c r="C6" s="23">
        <f>Zrealizowane!$I$32</f>
        <v>0</v>
      </c>
      <c r="D6" s="23">
        <f>Zrealizowane!$J$32</f>
        <v>0</v>
      </c>
    </row>
    <row r="7" spans="1:13" hidden="1" x14ac:dyDescent="0.25">
      <c r="A7" s="20" t="s">
        <v>18</v>
      </c>
      <c r="B7" s="23">
        <f>Zrealizowane!$H$34</f>
        <v>0</v>
      </c>
      <c r="C7" s="23">
        <f>Zrealizowane!$I$34</f>
        <v>0</v>
      </c>
      <c r="D7" s="23">
        <f>Zrealizowane!$J$34</f>
        <v>0</v>
      </c>
    </row>
    <row r="8" spans="1:13" hidden="1" x14ac:dyDescent="0.25">
      <c r="A8" s="20" t="s">
        <v>21</v>
      </c>
      <c r="B8" s="23">
        <f>Zrealizowane!$H$37</f>
        <v>0</v>
      </c>
      <c r="C8" s="23">
        <f>Zrealizowane!$I$37</f>
        <v>0</v>
      </c>
      <c r="D8" s="23">
        <f>Zrealizowane!$J$37</f>
        <v>0</v>
      </c>
    </row>
    <row r="9" spans="1:13" x14ac:dyDescent="0.25">
      <c r="A9" s="21" t="s">
        <v>24</v>
      </c>
      <c r="B9" s="22">
        <f>SUM(B2:B8)</f>
        <v>4516.3903916666659</v>
      </c>
      <c r="C9" s="22">
        <f>SUM(C2:C8)</f>
        <v>256.75</v>
      </c>
      <c r="D9" s="22">
        <f>SUM(D2:D8)</f>
        <v>2019.9430200000002</v>
      </c>
    </row>
    <row r="11" spans="1:13" ht="38.25" x14ac:dyDescent="0.25">
      <c r="A11" s="18"/>
      <c r="B11" s="19" t="s">
        <v>63</v>
      </c>
      <c r="C11" s="19" t="s">
        <v>351</v>
      </c>
      <c r="D11" s="19" t="s">
        <v>64</v>
      </c>
    </row>
    <row r="12" spans="1:13" x14ac:dyDescent="0.25">
      <c r="A12" s="20" t="s">
        <v>11</v>
      </c>
      <c r="B12" s="23">
        <f>Planowane!$H$3</f>
        <v>2643.3700000000003</v>
      </c>
      <c r="C12" s="23">
        <f>Planowane!$I$3</f>
        <v>1657.2000000000003</v>
      </c>
      <c r="D12" s="23">
        <f>Planowane!$J$3</f>
        <v>1502.4894320000003</v>
      </c>
    </row>
    <row r="13" spans="1:13" x14ac:dyDescent="0.25">
      <c r="A13" s="20" t="s">
        <v>14</v>
      </c>
      <c r="B13" s="23">
        <f>Planowane!$H$17</f>
        <v>1571</v>
      </c>
      <c r="C13" s="23">
        <f>Planowane!$I$17</f>
        <v>30</v>
      </c>
      <c r="D13" s="23">
        <f>Planowane!$J$17</f>
        <v>1193.3200000000002</v>
      </c>
    </row>
    <row r="14" spans="1:13" x14ac:dyDescent="0.25">
      <c r="A14" s="20" t="s">
        <v>15</v>
      </c>
      <c r="B14" s="23">
        <f>Planowane!$H$21</f>
        <v>5545</v>
      </c>
      <c r="C14" s="23">
        <f>Planowane!$I$21</f>
        <v>6040.76</v>
      </c>
      <c r="D14" s="23">
        <f>Planowane!$J$21</f>
        <v>6037</v>
      </c>
    </row>
    <row r="15" spans="1:13" x14ac:dyDescent="0.25">
      <c r="A15" s="20" t="s">
        <v>16</v>
      </c>
      <c r="B15" s="23">
        <f>Planowane!$H$25</f>
        <v>0</v>
      </c>
      <c r="C15" s="23">
        <f>Planowane!$I$25</f>
        <v>0</v>
      </c>
      <c r="D15" s="23">
        <f>Planowane!$J$25</f>
        <v>0</v>
      </c>
    </row>
    <row r="16" spans="1:13" x14ac:dyDescent="0.25">
      <c r="A16" s="20" t="s">
        <v>17</v>
      </c>
      <c r="B16" s="23">
        <f>Planowane!$H$29</f>
        <v>0</v>
      </c>
      <c r="C16" s="23">
        <f>Planowane!$I$29</f>
        <v>0</v>
      </c>
      <c r="D16" s="23">
        <f>Planowane!$J$29</f>
        <v>0</v>
      </c>
    </row>
    <row r="17" spans="1:12" x14ac:dyDescent="0.25">
      <c r="A17" s="20" t="s">
        <v>18</v>
      </c>
      <c r="B17" s="23">
        <f>Planowane!$H$31</f>
        <v>0</v>
      </c>
      <c r="C17" s="23">
        <f>Planowane!$I$31</f>
        <v>0</v>
      </c>
      <c r="D17" s="23">
        <f>Planowane!$J$31</f>
        <v>0</v>
      </c>
    </row>
    <row r="18" spans="1:12" x14ac:dyDescent="0.25">
      <c r="A18" s="20" t="s">
        <v>21</v>
      </c>
      <c r="B18" s="23">
        <f>Planowane!$H$32</f>
        <v>0</v>
      </c>
      <c r="C18" s="23">
        <f>Planowane!$I$32</f>
        <v>0</v>
      </c>
      <c r="D18" s="23">
        <f>Planowane!$J$32</f>
        <v>0</v>
      </c>
    </row>
    <row r="19" spans="1:12" x14ac:dyDescent="0.25">
      <c r="A19" s="21" t="s">
        <v>24</v>
      </c>
      <c r="B19" s="22">
        <f>SUM(B12:B18)</f>
        <v>9759.3700000000008</v>
      </c>
      <c r="C19" s="22">
        <f>SUM(C12:C18)</f>
        <v>7727.9600000000009</v>
      </c>
      <c r="D19" s="22">
        <f>SUM(D12:D18)</f>
        <v>8732.809432</v>
      </c>
    </row>
    <row r="21" spans="1:12" ht="51" x14ac:dyDescent="0.25">
      <c r="A21" s="18" t="s">
        <v>62</v>
      </c>
      <c r="B21" s="19" t="str">
        <f>B11</f>
        <v>Oszczędności energii do 2027 r.</v>
      </c>
      <c r="C21" s="19" t="str">
        <f>C11</f>
        <v>Udział energii z OZE do 2027 r.</v>
      </c>
      <c r="D21" s="19" t="str">
        <f>D11</f>
        <v>Roczna redukcja emisji CO2 do 2027 r.</v>
      </c>
      <c r="F21" s="24" t="s">
        <v>65</v>
      </c>
      <c r="G21" s="24" t="s">
        <v>346</v>
      </c>
      <c r="H21" s="24" t="s">
        <v>77</v>
      </c>
      <c r="I21" s="24" t="s">
        <v>78</v>
      </c>
      <c r="J21" s="24" t="s">
        <v>79</v>
      </c>
      <c r="K21" s="190" t="s">
        <v>69</v>
      </c>
      <c r="L21" s="191"/>
    </row>
    <row r="22" spans="1:12" x14ac:dyDescent="0.25">
      <c r="A22" s="20" t="s">
        <v>11</v>
      </c>
      <c r="B22" s="23">
        <f>B2+B12</f>
        <v>3635.9300000000003</v>
      </c>
      <c r="C22" s="23">
        <f>C2+C12</f>
        <v>1880.7500000000002</v>
      </c>
      <c r="D22" s="23">
        <f>D2+D12</f>
        <v>2476.6294320000002</v>
      </c>
      <c r="F22" s="25" t="s">
        <v>51</v>
      </c>
      <c r="G22" s="25">
        <f>J2</f>
        <v>334763.09960833332</v>
      </c>
      <c r="H22" s="25">
        <f>$B$19</f>
        <v>9759.3700000000008</v>
      </c>
      <c r="I22" s="25">
        <f>G22</f>
        <v>334763.09960833332</v>
      </c>
      <c r="J22" s="25">
        <f>I22-H22</f>
        <v>325003.72960833332</v>
      </c>
      <c r="K22" s="25" t="s">
        <v>70</v>
      </c>
      <c r="L22" s="26">
        <f>(G22-J22)/G22</f>
        <v>2.9153063797707331E-2</v>
      </c>
    </row>
    <row r="23" spans="1:12" ht="38.25" x14ac:dyDescent="0.25">
      <c r="A23" s="20" t="s">
        <v>14</v>
      </c>
      <c r="B23" s="23">
        <f t="shared" ref="B23:D28" si="0">B3+B13</f>
        <v>3224.6616666666669</v>
      </c>
      <c r="C23" s="23">
        <f t="shared" si="0"/>
        <v>38</v>
      </c>
      <c r="D23" s="23">
        <f t="shared" si="0"/>
        <v>1753.6875200000002</v>
      </c>
      <c r="F23" s="25" t="s">
        <v>71</v>
      </c>
      <c r="G23" s="25">
        <f t="shared" ref="G23:G24" si="1">J3</f>
        <v>1339.75</v>
      </c>
      <c r="H23" s="25">
        <f>$C$19</f>
        <v>7727.9600000000009</v>
      </c>
      <c r="I23" s="25">
        <f>G23</f>
        <v>1339.75</v>
      </c>
      <c r="J23" s="25">
        <f>G23+H23</f>
        <v>9067.7100000000009</v>
      </c>
      <c r="K23" s="25" t="s">
        <v>72</v>
      </c>
      <c r="L23" s="26">
        <f>J23/$G$2-G23/G22</f>
        <v>2.2724288541223825E-2</v>
      </c>
    </row>
    <row r="24" spans="1:12" x14ac:dyDescent="0.25">
      <c r="A24" s="20" t="s">
        <v>15</v>
      </c>
      <c r="B24" s="23">
        <f t="shared" si="0"/>
        <v>5570.2</v>
      </c>
      <c r="C24" s="23">
        <f t="shared" si="0"/>
        <v>6065.96</v>
      </c>
      <c r="D24" s="23">
        <f t="shared" si="0"/>
        <v>6056.2780000000002</v>
      </c>
      <c r="F24" s="25" t="s">
        <v>73</v>
      </c>
      <c r="G24" s="25">
        <f t="shared" si="1"/>
        <v>121802.05697999999</v>
      </c>
      <c r="H24" s="25">
        <f>$D$19</f>
        <v>8732.809432</v>
      </c>
      <c r="I24" s="25">
        <f>G24</f>
        <v>121802.05697999999</v>
      </c>
      <c r="J24" s="25">
        <f>I24-H24</f>
        <v>113069.247548</v>
      </c>
      <c r="K24" s="25" t="s">
        <v>74</v>
      </c>
      <c r="L24" s="26">
        <f>(G24-J24)/G24</f>
        <v>7.1696731964337262E-2</v>
      </c>
    </row>
    <row r="25" spans="1:12" x14ac:dyDescent="0.25">
      <c r="A25" s="20" t="s">
        <v>16</v>
      </c>
      <c r="B25" s="23">
        <f t="shared" si="0"/>
        <v>1844.9687250000002</v>
      </c>
      <c r="C25" s="23">
        <f t="shared" si="0"/>
        <v>0</v>
      </c>
      <c r="D25" s="23">
        <f t="shared" si="0"/>
        <v>466.15749999999997</v>
      </c>
      <c r="G25" s="9">
        <f>G23/G22</f>
        <v>4.0020838663744089E-3</v>
      </c>
      <c r="J25" s="9">
        <f>J23/J22</f>
        <v>2.7900325977574563E-2</v>
      </c>
    </row>
    <row r="26" spans="1:12" hidden="1" x14ac:dyDescent="0.25">
      <c r="A26" s="20" t="s">
        <v>17</v>
      </c>
      <c r="B26" s="23">
        <f t="shared" si="0"/>
        <v>0</v>
      </c>
      <c r="C26" s="23">
        <f t="shared" si="0"/>
        <v>0</v>
      </c>
      <c r="D26" s="23">
        <f t="shared" si="0"/>
        <v>0</v>
      </c>
    </row>
    <row r="27" spans="1:12" hidden="1" x14ac:dyDescent="0.25">
      <c r="A27" s="20" t="s">
        <v>18</v>
      </c>
      <c r="B27" s="23">
        <f t="shared" si="0"/>
        <v>0</v>
      </c>
      <c r="C27" s="23">
        <f t="shared" si="0"/>
        <v>0</v>
      </c>
      <c r="D27" s="23">
        <f t="shared" si="0"/>
        <v>0</v>
      </c>
    </row>
    <row r="28" spans="1:12" hidden="1" x14ac:dyDescent="0.25">
      <c r="A28" s="20" t="s">
        <v>21</v>
      </c>
      <c r="B28" s="23">
        <f t="shared" si="0"/>
        <v>0</v>
      </c>
      <c r="C28" s="23">
        <f t="shared" si="0"/>
        <v>0</v>
      </c>
      <c r="D28" s="23">
        <f t="shared" si="0"/>
        <v>0</v>
      </c>
    </row>
    <row r="29" spans="1:12" x14ac:dyDescent="0.25">
      <c r="A29" s="21" t="s">
        <v>24</v>
      </c>
      <c r="B29" s="22">
        <f>SUM(B22:B28)</f>
        <v>14275.760391666669</v>
      </c>
      <c r="C29" s="22">
        <f>SUM(C22:C28)</f>
        <v>7984.71</v>
      </c>
      <c r="D29" s="22">
        <f>SUM(D22:D28)</f>
        <v>10752.752451999999</v>
      </c>
    </row>
    <row r="35" spans="1:6" x14ac:dyDescent="0.25">
      <c r="A35" t="s">
        <v>83</v>
      </c>
      <c r="F35" t="s">
        <v>82</v>
      </c>
    </row>
    <row r="36" spans="1:6" x14ac:dyDescent="0.25">
      <c r="A36" t="s">
        <v>80</v>
      </c>
      <c r="F36" t="s">
        <v>80</v>
      </c>
    </row>
    <row r="55" spans="1:6" x14ac:dyDescent="0.25">
      <c r="A55" t="s">
        <v>84</v>
      </c>
      <c r="F55" t="s">
        <v>81</v>
      </c>
    </row>
  </sheetData>
  <mergeCells count="2">
    <mergeCell ref="K1:L1"/>
    <mergeCell ref="K21:L2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0EEAD-8646-4DD9-BE4C-0110C33471A7}">
  <dimension ref="A1:T39"/>
  <sheetViews>
    <sheetView topLeftCell="A46" zoomScale="85" zoomScaleNormal="85" workbookViewId="0">
      <selection activeCell="C19" sqref="C19"/>
    </sheetView>
  </sheetViews>
  <sheetFormatPr defaultRowHeight="12.75" x14ac:dyDescent="0.2"/>
  <cols>
    <col min="1" max="1" width="9.85546875" style="78" bestFit="1" customWidth="1"/>
    <col min="2" max="2" width="23.140625" style="78" customWidth="1"/>
    <col min="3" max="3" width="23.140625" style="81" customWidth="1"/>
    <col min="4" max="5" width="17.85546875" style="81" customWidth="1"/>
    <col min="6" max="6" width="9.5703125" style="78" bestFit="1" customWidth="1"/>
    <col min="7" max="7" width="9.140625" style="78"/>
    <col min="8" max="8" width="11.7109375" style="78" bestFit="1" customWidth="1"/>
    <col min="9" max="10" width="9.140625" style="78"/>
    <col min="11" max="11" width="11.7109375" style="78" bestFit="1" customWidth="1"/>
    <col min="12" max="16384" width="9.140625" style="78"/>
  </cols>
  <sheetData>
    <row r="1" spans="1:20" ht="13.5" thickBot="1" x14ac:dyDescent="0.25">
      <c r="A1" s="78" t="s">
        <v>185</v>
      </c>
    </row>
    <row r="2" spans="1:20" ht="13.5" thickBot="1" x14ac:dyDescent="0.25">
      <c r="A2" s="203" t="s">
        <v>32</v>
      </c>
      <c r="B2" s="203" t="s">
        <v>33</v>
      </c>
      <c r="C2" s="192" t="s">
        <v>34</v>
      </c>
      <c r="D2" s="192" t="s">
        <v>169</v>
      </c>
      <c r="E2" s="194" t="s">
        <v>170</v>
      </c>
      <c r="F2" s="195"/>
      <c r="G2" s="195"/>
      <c r="H2" s="195"/>
      <c r="I2" s="195"/>
      <c r="J2" s="195"/>
      <c r="K2" s="195"/>
      <c r="L2" s="195"/>
      <c r="M2" s="196"/>
      <c r="N2" s="194" t="s">
        <v>171</v>
      </c>
      <c r="O2" s="195"/>
      <c r="P2" s="195"/>
      <c r="Q2" s="195"/>
      <c r="R2" s="196"/>
      <c r="S2" s="192" t="s">
        <v>102</v>
      </c>
    </row>
    <row r="3" spans="1:20" ht="39.75" thickBot="1" x14ac:dyDescent="0.25">
      <c r="A3" s="204"/>
      <c r="B3" s="204"/>
      <c r="C3" s="193"/>
      <c r="D3" s="193"/>
      <c r="E3" s="121" t="s">
        <v>172</v>
      </c>
      <c r="F3" s="121" t="s">
        <v>30</v>
      </c>
      <c r="G3" s="121" t="s">
        <v>31</v>
      </c>
      <c r="H3" s="121" t="s">
        <v>105</v>
      </c>
      <c r="I3" s="121" t="s">
        <v>29</v>
      </c>
      <c r="J3" s="121" t="s">
        <v>109</v>
      </c>
      <c r="K3" s="121" t="s">
        <v>100</v>
      </c>
      <c r="L3" s="121" t="s">
        <v>173</v>
      </c>
      <c r="M3" s="121" t="s">
        <v>174</v>
      </c>
      <c r="N3" s="121" t="s">
        <v>175</v>
      </c>
      <c r="O3" s="121" t="s">
        <v>176</v>
      </c>
      <c r="P3" s="121" t="s">
        <v>177</v>
      </c>
      <c r="Q3" s="121" t="s">
        <v>178</v>
      </c>
      <c r="R3" s="121" t="s">
        <v>179</v>
      </c>
      <c r="S3" s="193"/>
    </row>
    <row r="4" spans="1:20" s="82" customFormat="1" ht="13.5" thickBot="1" x14ac:dyDescent="0.3">
      <c r="A4" s="122"/>
      <c r="B4" s="123"/>
      <c r="C4" s="194" t="s">
        <v>180</v>
      </c>
      <c r="D4" s="195"/>
      <c r="E4" s="195"/>
      <c r="F4" s="195"/>
      <c r="G4" s="195"/>
      <c r="H4" s="195"/>
      <c r="I4" s="195"/>
      <c r="J4" s="195"/>
      <c r="K4" s="195"/>
      <c r="L4" s="195"/>
      <c r="M4" s="195"/>
      <c r="N4" s="195"/>
      <c r="O4" s="195"/>
      <c r="P4" s="195"/>
      <c r="Q4" s="195"/>
      <c r="R4" s="195"/>
      <c r="S4" s="196"/>
    </row>
    <row r="5" spans="1:20" ht="13.5" thickBot="1" x14ac:dyDescent="0.25">
      <c r="A5" s="124" t="s">
        <v>35</v>
      </c>
      <c r="B5" s="197" t="s">
        <v>36</v>
      </c>
      <c r="C5" s="198"/>
      <c r="D5" s="198"/>
      <c r="E5" s="198"/>
      <c r="F5" s="198"/>
      <c r="G5" s="198"/>
      <c r="H5" s="198"/>
      <c r="I5" s="198"/>
      <c r="J5" s="198"/>
      <c r="K5" s="198"/>
      <c r="L5" s="198"/>
      <c r="M5" s="198"/>
      <c r="N5" s="198"/>
      <c r="O5" s="198"/>
      <c r="P5" s="198"/>
      <c r="Q5" s="198"/>
      <c r="R5" s="198"/>
      <c r="S5" s="199"/>
    </row>
    <row r="6" spans="1:20" ht="23.25" thickBot="1" x14ac:dyDescent="0.25">
      <c r="A6" s="125" t="s">
        <v>37</v>
      </c>
      <c r="B6" s="126" t="s">
        <v>38</v>
      </c>
      <c r="C6" s="127">
        <v>1378</v>
      </c>
      <c r="D6" s="127">
        <v>10356</v>
      </c>
      <c r="E6" s="128" t="s">
        <v>13</v>
      </c>
      <c r="F6" s="128" t="s">
        <v>13</v>
      </c>
      <c r="G6" s="128">
        <v>699</v>
      </c>
      <c r="H6" s="128" t="s">
        <v>13</v>
      </c>
      <c r="I6" s="128">
        <v>1869</v>
      </c>
      <c r="J6" s="128" t="s">
        <v>13</v>
      </c>
      <c r="K6" s="128" t="s">
        <v>13</v>
      </c>
      <c r="L6" s="127">
        <v>1522</v>
      </c>
      <c r="M6" s="128" t="s">
        <v>13</v>
      </c>
      <c r="N6" s="128" t="s">
        <v>13</v>
      </c>
      <c r="O6" s="128" t="s">
        <v>13</v>
      </c>
      <c r="P6" s="128" t="s">
        <v>13</v>
      </c>
      <c r="Q6" s="128" t="s">
        <v>13</v>
      </c>
      <c r="R6" s="128" t="s">
        <v>13</v>
      </c>
      <c r="S6" s="127">
        <v>15818</v>
      </c>
    </row>
    <row r="7" spans="1:20" ht="13.5" thickBot="1" x14ac:dyDescent="0.25">
      <c r="A7" s="125" t="s">
        <v>39</v>
      </c>
      <c r="B7" s="126" t="s">
        <v>14</v>
      </c>
      <c r="C7" s="128" t="s">
        <v>181</v>
      </c>
      <c r="D7" s="127">
        <v>26289</v>
      </c>
      <c r="E7" s="128" t="s">
        <v>13</v>
      </c>
      <c r="F7" s="128" t="s">
        <v>13</v>
      </c>
      <c r="G7" s="128">
        <v>906</v>
      </c>
      <c r="H7" s="128" t="s">
        <v>13</v>
      </c>
      <c r="I7" s="127">
        <v>24461</v>
      </c>
      <c r="J7" s="128" t="s">
        <v>13</v>
      </c>
      <c r="K7" s="128" t="s">
        <v>13</v>
      </c>
      <c r="L7" s="127">
        <v>90394</v>
      </c>
      <c r="M7" s="128" t="s">
        <v>13</v>
      </c>
      <c r="N7" s="128" t="s">
        <v>13</v>
      </c>
      <c r="O7" s="128" t="s">
        <v>13</v>
      </c>
      <c r="P7" s="127">
        <v>5307</v>
      </c>
      <c r="Q7" s="128" t="s">
        <v>13</v>
      </c>
      <c r="R7" s="128" t="s">
        <v>13</v>
      </c>
      <c r="S7" s="127">
        <v>178289</v>
      </c>
    </row>
    <row r="8" spans="1:20" ht="13.5" thickBot="1" x14ac:dyDescent="0.25">
      <c r="A8" s="125" t="s">
        <v>40</v>
      </c>
      <c r="B8" s="126" t="s">
        <v>41</v>
      </c>
      <c r="C8" s="127">
        <v>1711</v>
      </c>
      <c r="D8" s="128" t="s">
        <v>13</v>
      </c>
      <c r="E8" s="128" t="s">
        <v>13</v>
      </c>
      <c r="F8" s="128" t="s">
        <v>13</v>
      </c>
      <c r="G8" s="128" t="s">
        <v>13</v>
      </c>
      <c r="H8" s="128" t="s">
        <v>13</v>
      </c>
      <c r="I8" s="128" t="s">
        <v>13</v>
      </c>
      <c r="J8" s="128" t="s">
        <v>13</v>
      </c>
      <c r="K8" s="128" t="s">
        <v>13</v>
      </c>
      <c r="L8" s="128" t="s">
        <v>13</v>
      </c>
      <c r="M8" s="128" t="s">
        <v>13</v>
      </c>
      <c r="N8" s="128" t="s">
        <v>13</v>
      </c>
      <c r="O8" s="128" t="s">
        <v>13</v>
      </c>
      <c r="P8" s="128" t="s">
        <v>13</v>
      </c>
      <c r="Q8" s="128" t="s">
        <v>13</v>
      </c>
      <c r="R8" s="128" t="s">
        <v>13</v>
      </c>
      <c r="S8" s="127">
        <v>1711</v>
      </c>
    </row>
    <row r="9" spans="1:20" ht="13.5" thickBot="1" x14ac:dyDescent="0.25">
      <c r="A9" s="125" t="s">
        <v>42</v>
      </c>
      <c r="B9" s="126" t="s">
        <v>182</v>
      </c>
      <c r="C9" s="127">
        <v>13256</v>
      </c>
      <c r="D9" s="127">
        <v>1583</v>
      </c>
      <c r="E9" s="128" t="s">
        <v>13</v>
      </c>
      <c r="F9" s="128" t="s">
        <v>13</v>
      </c>
      <c r="G9" s="128" t="s">
        <v>13</v>
      </c>
      <c r="H9" s="128" t="s">
        <v>13</v>
      </c>
      <c r="I9" s="128">
        <v>25</v>
      </c>
      <c r="J9" s="128" t="s">
        <v>13</v>
      </c>
      <c r="K9" s="128" t="s">
        <v>13</v>
      </c>
      <c r="L9" s="127">
        <v>1114</v>
      </c>
      <c r="M9" s="128" t="s">
        <v>13</v>
      </c>
      <c r="N9" s="128" t="s">
        <v>13</v>
      </c>
      <c r="O9" s="128" t="s">
        <v>13</v>
      </c>
      <c r="P9" s="127">
        <v>1551</v>
      </c>
      <c r="Q9" s="128" t="s">
        <v>13</v>
      </c>
      <c r="R9" s="128" t="s">
        <v>13</v>
      </c>
      <c r="S9" s="127">
        <v>17530</v>
      </c>
      <c r="T9" s="94">
        <f>S9+S10</f>
        <v>24662</v>
      </c>
    </row>
    <row r="10" spans="1:20" ht="13.5" thickBot="1" x14ac:dyDescent="0.25">
      <c r="A10" s="125" t="s">
        <v>49</v>
      </c>
      <c r="B10" s="126" t="s">
        <v>183</v>
      </c>
      <c r="C10" s="127">
        <v>4910</v>
      </c>
      <c r="D10" s="127">
        <v>1748</v>
      </c>
      <c r="E10" s="128" t="s">
        <v>13</v>
      </c>
      <c r="F10" s="128" t="s">
        <v>13</v>
      </c>
      <c r="G10" s="128" t="s">
        <v>13</v>
      </c>
      <c r="H10" s="128" t="s">
        <v>13</v>
      </c>
      <c r="I10" s="128">
        <v>474</v>
      </c>
      <c r="J10" s="128" t="s">
        <v>13</v>
      </c>
      <c r="K10" s="128" t="s">
        <v>13</v>
      </c>
      <c r="L10" s="128" t="s">
        <v>13</v>
      </c>
      <c r="M10" s="128" t="s">
        <v>13</v>
      </c>
      <c r="N10" s="128" t="s">
        <v>13</v>
      </c>
      <c r="O10" s="128" t="s">
        <v>13</v>
      </c>
      <c r="P10" s="128" t="s">
        <v>13</v>
      </c>
      <c r="Q10" s="128" t="s">
        <v>13</v>
      </c>
      <c r="R10" s="128" t="s">
        <v>13</v>
      </c>
      <c r="S10" s="127">
        <v>7132</v>
      </c>
    </row>
    <row r="11" spans="1:20" ht="13.5" thickBot="1" x14ac:dyDescent="0.25">
      <c r="A11" s="124" t="s">
        <v>45</v>
      </c>
      <c r="B11" s="200" t="s">
        <v>46</v>
      </c>
      <c r="C11" s="201"/>
      <c r="D11" s="201"/>
      <c r="E11" s="201"/>
      <c r="F11" s="201"/>
      <c r="G11" s="201"/>
      <c r="H11" s="201"/>
      <c r="I11" s="201"/>
      <c r="J11" s="201"/>
      <c r="K11" s="201"/>
      <c r="L11" s="201"/>
      <c r="M11" s="201"/>
      <c r="N11" s="201"/>
      <c r="O11" s="201"/>
      <c r="P11" s="201"/>
      <c r="Q11" s="201"/>
      <c r="R11" s="201"/>
      <c r="S11" s="202"/>
    </row>
    <row r="12" spans="1:20" ht="13.5" thickBot="1" x14ac:dyDescent="0.25">
      <c r="A12" s="125" t="s">
        <v>47</v>
      </c>
      <c r="B12" s="126" t="s">
        <v>16</v>
      </c>
      <c r="C12" s="128" t="s">
        <v>13</v>
      </c>
      <c r="D12" s="128" t="s">
        <v>13</v>
      </c>
      <c r="E12" s="128" t="s">
        <v>13</v>
      </c>
      <c r="F12" s="127">
        <v>12695</v>
      </c>
      <c r="G12" s="128" t="s">
        <v>13</v>
      </c>
      <c r="H12" s="128" t="s">
        <v>184</v>
      </c>
      <c r="I12" s="128" t="s">
        <v>13</v>
      </c>
      <c r="J12" s="127">
        <v>71077</v>
      </c>
      <c r="K12" s="128" t="s">
        <v>13</v>
      </c>
      <c r="L12" s="128" t="s">
        <v>13</v>
      </c>
      <c r="M12" s="128" t="s">
        <v>13</v>
      </c>
      <c r="N12" s="128" t="s">
        <v>13</v>
      </c>
      <c r="O12" s="128" t="s">
        <v>13</v>
      </c>
      <c r="P12" s="128" t="s">
        <v>13</v>
      </c>
      <c r="Q12" s="128" t="s">
        <v>13</v>
      </c>
      <c r="R12" s="128" t="s">
        <v>13</v>
      </c>
      <c r="S12" s="128">
        <v>118799</v>
      </c>
    </row>
    <row r="13" spans="1:20" ht="13.5" thickBot="1" x14ac:dyDescent="0.25">
      <c r="A13" s="122"/>
      <c r="B13" s="129" t="s">
        <v>24</v>
      </c>
      <c r="C13" s="130">
        <v>52187</v>
      </c>
      <c r="D13" s="130">
        <v>39976</v>
      </c>
      <c r="E13" s="129" t="s">
        <v>13</v>
      </c>
      <c r="F13" s="130">
        <v>12965</v>
      </c>
      <c r="G13" s="130">
        <v>1605</v>
      </c>
      <c r="H13" s="130">
        <v>35027</v>
      </c>
      <c r="I13" s="130">
        <v>26823</v>
      </c>
      <c r="J13" s="130">
        <v>71077</v>
      </c>
      <c r="K13" s="129" t="s">
        <v>13</v>
      </c>
      <c r="L13" s="130">
        <v>93031</v>
      </c>
      <c r="M13" s="129" t="s">
        <v>13</v>
      </c>
      <c r="N13" s="129" t="s">
        <v>13</v>
      </c>
      <c r="O13" s="129" t="s">
        <v>13</v>
      </c>
      <c r="P13" s="130">
        <v>6858</v>
      </c>
      <c r="Q13" s="129" t="s">
        <v>13</v>
      </c>
      <c r="R13" s="129" t="s">
        <v>13</v>
      </c>
      <c r="S13" s="130">
        <v>339279</v>
      </c>
    </row>
    <row r="14" spans="1:20" ht="13.5" thickBot="1" x14ac:dyDescent="0.25">
      <c r="A14" s="78" t="s">
        <v>192</v>
      </c>
    </row>
    <row r="15" spans="1:20" ht="13.5" thickBot="1" x14ac:dyDescent="0.25">
      <c r="A15" s="203" t="s">
        <v>32</v>
      </c>
      <c r="B15" s="203" t="s">
        <v>33</v>
      </c>
      <c r="C15" s="192" t="s">
        <v>34</v>
      </c>
      <c r="D15" s="192" t="s">
        <v>169</v>
      </c>
      <c r="E15" s="194" t="s">
        <v>170</v>
      </c>
      <c r="F15" s="195"/>
      <c r="G15" s="195"/>
      <c r="H15" s="195"/>
      <c r="I15" s="195"/>
      <c r="J15" s="195"/>
      <c r="K15" s="195"/>
      <c r="L15" s="195"/>
      <c r="M15" s="196"/>
      <c r="N15" s="194" t="s">
        <v>171</v>
      </c>
      <c r="O15" s="195"/>
      <c r="P15" s="195"/>
      <c r="Q15" s="195"/>
      <c r="R15" s="196"/>
      <c r="S15" s="192" t="s">
        <v>102</v>
      </c>
    </row>
    <row r="16" spans="1:20" ht="39.75" thickBot="1" x14ac:dyDescent="0.25">
      <c r="A16" s="204"/>
      <c r="B16" s="204"/>
      <c r="C16" s="193"/>
      <c r="D16" s="193"/>
      <c r="E16" s="121" t="s">
        <v>172</v>
      </c>
      <c r="F16" s="121" t="s">
        <v>30</v>
      </c>
      <c r="G16" s="121" t="s">
        <v>31</v>
      </c>
      <c r="H16" s="121" t="s">
        <v>105</v>
      </c>
      <c r="I16" s="121" t="s">
        <v>29</v>
      </c>
      <c r="J16" s="121" t="s">
        <v>109</v>
      </c>
      <c r="K16" s="121" t="s">
        <v>100</v>
      </c>
      <c r="L16" s="121" t="s">
        <v>173</v>
      </c>
      <c r="M16" s="121" t="s">
        <v>174</v>
      </c>
      <c r="N16" s="121" t="s">
        <v>175</v>
      </c>
      <c r="O16" s="121" t="s">
        <v>176</v>
      </c>
      <c r="P16" s="121" t="s">
        <v>177</v>
      </c>
      <c r="Q16" s="121" t="s">
        <v>178</v>
      </c>
      <c r="R16" s="121" t="s">
        <v>179</v>
      </c>
      <c r="S16" s="193"/>
    </row>
    <row r="17" spans="1:19" ht="13.5" thickBot="1" x14ac:dyDescent="0.25">
      <c r="A17" s="122"/>
      <c r="B17" s="123"/>
      <c r="C17" s="194" t="s">
        <v>180</v>
      </c>
      <c r="D17" s="195"/>
      <c r="E17" s="195"/>
      <c r="F17" s="195"/>
      <c r="G17" s="195"/>
      <c r="H17" s="195"/>
      <c r="I17" s="195"/>
      <c r="J17" s="195"/>
      <c r="K17" s="195"/>
      <c r="L17" s="195"/>
      <c r="M17" s="195"/>
      <c r="N17" s="195"/>
      <c r="O17" s="195"/>
      <c r="P17" s="195"/>
      <c r="Q17" s="195"/>
      <c r="R17" s="195"/>
      <c r="S17" s="196"/>
    </row>
    <row r="18" spans="1:19" ht="13.5" thickBot="1" x14ac:dyDescent="0.25">
      <c r="A18" s="124" t="s">
        <v>35</v>
      </c>
      <c r="B18" s="197" t="s">
        <v>36</v>
      </c>
      <c r="C18" s="198"/>
      <c r="D18" s="198"/>
      <c r="E18" s="198"/>
      <c r="F18" s="198"/>
      <c r="G18" s="198"/>
      <c r="H18" s="198"/>
      <c r="I18" s="198"/>
      <c r="J18" s="198"/>
      <c r="K18" s="198"/>
      <c r="L18" s="198"/>
      <c r="M18" s="198"/>
      <c r="N18" s="198"/>
      <c r="O18" s="198"/>
      <c r="P18" s="198"/>
      <c r="Q18" s="198"/>
      <c r="R18" s="198"/>
      <c r="S18" s="199"/>
    </row>
    <row r="19" spans="1:19" ht="23.25" thickBot="1" x14ac:dyDescent="0.25">
      <c r="A19" s="125" t="s">
        <v>37</v>
      </c>
      <c r="B19" s="126" t="s">
        <v>38</v>
      </c>
      <c r="C19" s="127">
        <v>1119</v>
      </c>
      <c r="D19" s="128">
        <v>3365</v>
      </c>
      <c r="E19" s="128" t="s">
        <v>13</v>
      </c>
      <c r="F19" s="128" t="s">
        <v>13</v>
      </c>
      <c r="G19" s="128">
        <v>193</v>
      </c>
      <c r="H19" s="128" t="s">
        <v>13</v>
      </c>
      <c r="I19" s="128">
        <v>375</v>
      </c>
      <c r="J19" s="128" t="s">
        <v>13</v>
      </c>
      <c r="K19" s="128" t="s">
        <v>13</v>
      </c>
      <c r="L19" s="128">
        <v>538</v>
      </c>
      <c r="M19" s="128" t="s">
        <v>13</v>
      </c>
      <c r="N19" s="128" t="s">
        <v>13</v>
      </c>
      <c r="O19" s="128" t="s">
        <v>13</v>
      </c>
      <c r="P19" s="128" t="s">
        <v>13</v>
      </c>
      <c r="Q19" s="128" t="s">
        <v>13</v>
      </c>
      <c r="R19" s="128" t="s">
        <v>13</v>
      </c>
      <c r="S19" s="127">
        <f>SUM(B19:R19)</f>
        <v>5590</v>
      </c>
    </row>
    <row r="20" spans="1:19" ht="13.5" thickBot="1" x14ac:dyDescent="0.25">
      <c r="A20" s="125" t="s">
        <v>39</v>
      </c>
      <c r="B20" s="126" t="s">
        <v>14</v>
      </c>
      <c r="C20" s="127">
        <v>25117</v>
      </c>
      <c r="D20" s="128">
        <v>8542</v>
      </c>
      <c r="E20" s="128" t="s">
        <v>13</v>
      </c>
      <c r="F20" s="128" t="s">
        <v>13</v>
      </c>
      <c r="G20" s="128">
        <v>251</v>
      </c>
      <c r="H20" s="128" t="s">
        <v>13</v>
      </c>
      <c r="I20" s="127">
        <v>4929</v>
      </c>
      <c r="J20" s="128" t="s">
        <v>13</v>
      </c>
      <c r="K20" s="128" t="s">
        <v>13</v>
      </c>
      <c r="L20" s="128">
        <v>31981</v>
      </c>
      <c r="M20" s="128" t="s">
        <v>13</v>
      </c>
      <c r="N20" s="128" t="s">
        <v>13</v>
      </c>
      <c r="O20" s="128" t="s">
        <v>13</v>
      </c>
      <c r="P20" s="128">
        <v>0</v>
      </c>
      <c r="Q20" s="128" t="s">
        <v>13</v>
      </c>
      <c r="R20" s="128" t="s">
        <v>13</v>
      </c>
      <c r="S20" s="127">
        <f>SUM(B20:R20)</f>
        <v>70820</v>
      </c>
    </row>
    <row r="21" spans="1:19" ht="13.5" thickBot="1" x14ac:dyDescent="0.25">
      <c r="A21" s="125" t="s">
        <v>40</v>
      </c>
      <c r="B21" s="126" t="s">
        <v>41</v>
      </c>
      <c r="C21" s="127">
        <v>1389</v>
      </c>
      <c r="D21" s="128" t="s">
        <v>13</v>
      </c>
      <c r="E21" s="128" t="s">
        <v>13</v>
      </c>
      <c r="F21" s="128" t="s">
        <v>13</v>
      </c>
      <c r="G21" s="128" t="s">
        <v>13</v>
      </c>
      <c r="H21" s="128" t="s">
        <v>13</v>
      </c>
      <c r="I21" s="128" t="s">
        <v>13</v>
      </c>
      <c r="J21" s="128" t="s">
        <v>13</v>
      </c>
      <c r="K21" s="128" t="s">
        <v>13</v>
      </c>
      <c r="L21" s="128" t="s">
        <v>13</v>
      </c>
      <c r="M21" s="128" t="s">
        <v>13</v>
      </c>
      <c r="N21" s="128" t="s">
        <v>13</v>
      </c>
      <c r="O21" s="128" t="s">
        <v>13</v>
      </c>
      <c r="P21" s="128" t="s">
        <v>13</v>
      </c>
      <c r="Q21" s="128" t="s">
        <v>13</v>
      </c>
      <c r="R21" s="128" t="s">
        <v>13</v>
      </c>
      <c r="S21" s="127">
        <f>SUM(B21:R21)</f>
        <v>1389</v>
      </c>
    </row>
    <row r="22" spans="1:19" ht="13.5" thickBot="1" x14ac:dyDescent="0.25">
      <c r="A22" s="125" t="s">
        <v>42</v>
      </c>
      <c r="B22" s="126" t="s">
        <v>182</v>
      </c>
      <c r="C22" s="127">
        <v>10764</v>
      </c>
      <c r="D22" s="128">
        <v>514</v>
      </c>
      <c r="E22" s="128" t="s">
        <v>13</v>
      </c>
      <c r="F22" s="128" t="s">
        <v>13</v>
      </c>
      <c r="G22" s="128" t="s">
        <v>13</v>
      </c>
      <c r="H22" s="128" t="s">
        <v>13</v>
      </c>
      <c r="I22" s="128">
        <v>5</v>
      </c>
      <c r="J22" s="128" t="s">
        <v>13</v>
      </c>
      <c r="K22" s="128" t="s">
        <v>13</v>
      </c>
      <c r="L22" s="128">
        <v>394</v>
      </c>
      <c r="M22" s="128" t="s">
        <v>13</v>
      </c>
      <c r="N22" s="128" t="s">
        <v>13</v>
      </c>
      <c r="O22" s="128" t="s">
        <v>13</v>
      </c>
      <c r="P22" s="128">
        <v>0</v>
      </c>
      <c r="Q22" s="128" t="s">
        <v>13</v>
      </c>
      <c r="R22" s="128" t="s">
        <v>13</v>
      </c>
      <c r="S22" s="127">
        <f>SUM(B22:R22)</f>
        <v>11677</v>
      </c>
    </row>
    <row r="23" spans="1:19" ht="13.5" thickBot="1" x14ac:dyDescent="0.25">
      <c r="A23" s="125" t="s">
        <v>49</v>
      </c>
      <c r="B23" s="126" t="s">
        <v>183</v>
      </c>
      <c r="C23" s="127">
        <v>3987</v>
      </c>
      <c r="D23" s="128">
        <v>568</v>
      </c>
      <c r="E23" s="128" t="s">
        <v>13</v>
      </c>
      <c r="F23" s="128" t="s">
        <v>13</v>
      </c>
      <c r="G23" s="128" t="s">
        <v>13</v>
      </c>
      <c r="H23" s="128" t="s">
        <v>13</v>
      </c>
      <c r="I23" s="128">
        <v>96</v>
      </c>
      <c r="J23" s="128" t="s">
        <v>13</v>
      </c>
      <c r="K23" s="128" t="s">
        <v>13</v>
      </c>
      <c r="L23" s="128" t="s">
        <v>13</v>
      </c>
      <c r="M23" s="128" t="s">
        <v>13</v>
      </c>
      <c r="N23" s="128" t="s">
        <v>13</v>
      </c>
      <c r="O23" s="128" t="s">
        <v>13</v>
      </c>
      <c r="P23" s="128" t="s">
        <v>13</v>
      </c>
      <c r="Q23" s="128" t="s">
        <v>13</v>
      </c>
      <c r="R23" s="128" t="s">
        <v>13</v>
      </c>
      <c r="S23" s="127">
        <f>SUM(B23:R23)</f>
        <v>4651</v>
      </c>
    </row>
    <row r="24" spans="1:19" ht="13.5" thickBot="1" x14ac:dyDescent="0.25">
      <c r="A24" s="124" t="s">
        <v>45</v>
      </c>
      <c r="B24" s="200" t="s">
        <v>46</v>
      </c>
      <c r="C24" s="201"/>
      <c r="D24" s="201"/>
      <c r="E24" s="201"/>
      <c r="F24" s="201"/>
      <c r="G24" s="201"/>
      <c r="H24" s="201"/>
      <c r="I24" s="201"/>
      <c r="J24" s="201"/>
      <c r="K24" s="201"/>
      <c r="L24" s="201"/>
      <c r="M24" s="201"/>
      <c r="N24" s="201"/>
      <c r="O24" s="201"/>
      <c r="P24" s="201"/>
      <c r="Q24" s="201"/>
      <c r="R24" s="201"/>
      <c r="S24" s="202"/>
    </row>
    <row r="25" spans="1:19" ht="13.5" thickBot="1" x14ac:dyDescent="0.25">
      <c r="A25" s="125" t="s">
        <v>47</v>
      </c>
      <c r="B25" s="126" t="s">
        <v>16</v>
      </c>
      <c r="C25" s="128" t="s">
        <v>13</v>
      </c>
      <c r="D25" s="128" t="s">
        <v>13</v>
      </c>
      <c r="E25" s="128" t="s">
        <v>13</v>
      </c>
      <c r="F25" s="128" t="s">
        <v>186</v>
      </c>
      <c r="G25" s="128" t="s">
        <v>13</v>
      </c>
      <c r="H25" s="128" t="s">
        <v>187</v>
      </c>
      <c r="I25" s="128" t="s">
        <v>13</v>
      </c>
      <c r="J25" s="128" t="s">
        <v>188</v>
      </c>
      <c r="K25" s="128" t="s">
        <v>13</v>
      </c>
      <c r="L25" s="128" t="s">
        <v>13</v>
      </c>
      <c r="M25" s="128" t="s">
        <v>13</v>
      </c>
      <c r="N25" s="128" t="s">
        <v>13</v>
      </c>
      <c r="O25" s="128" t="s">
        <v>13</v>
      </c>
      <c r="P25" s="128" t="s">
        <v>13</v>
      </c>
      <c r="Q25" s="128" t="s">
        <v>13</v>
      </c>
      <c r="R25" s="128" t="s">
        <v>13</v>
      </c>
      <c r="S25" s="127">
        <v>29695</v>
      </c>
    </row>
    <row r="26" spans="1:19" ht="13.5" thickBot="1" x14ac:dyDescent="0.25">
      <c r="A26" s="122"/>
      <c r="B26" s="129" t="s">
        <v>24</v>
      </c>
      <c r="C26" s="130">
        <v>42375</v>
      </c>
      <c r="D26" s="129" t="s">
        <v>189</v>
      </c>
      <c r="E26" s="129" t="s">
        <v>13</v>
      </c>
      <c r="F26" s="129" t="s">
        <v>186</v>
      </c>
      <c r="G26" s="129">
        <v>444</v>
      </c>
      <c r="H26" s="130">
        <v>8676</v>
      </c>
      <c r="I26" s="129" t="s">
        <v>190</v>
      </c>
      <c r="J26" s="129" t="s">
        <v>188</v>
      </c>
      <c r="K26" s="129" t="s">
        <v>13</v>
      </c>
      <c r="L26" s="129" t="s">
        <v>191</v>
      </c>
      <c r="M26" s="129" t="s">
        <v>13</v>
      </c>
      <c r="N26" s="129" t="s">
        <v>13</v>
      </c>
      <c r="O26" s="129" t="s">
        <v>13</v>
      </c>
      <c r="P26" s="129">
        <v>0</v>
      </c>
      <c r="Q26" s="129" t="s">
        <v>13</v>
      </c>
      <c r="R26" s="129" t="s">
        <v>13</v>
      </c>
      <c r="S26" s="130">
        <v>123822</v>
      </c>
    </row>
    <row r="27" spans="1:19" ht="13.5" thickBot="1" x14ac:dyDescent="0.25">
      <c r="B27" s="78">
        <v>2013</v>
      </c>
      <c r="C27" s="81" t="s">
        <v>43</v>
      </c>
      <c r="J27" s="78">
        <v>2013</v>
      </c>
      <c r="K27" s="78" t="s">
        <v>222</v>
      </c>
    </row>
    <row r="28" spans="1:19" ht="26.25" thickBot="1" x14ac:dyDescent="0.25">
      <c r="B28" s="150"/>
      <c r="C28" s="151" t="s">
        <v>34</v>
      </c>
      <c r="D28" s="151" t="s">
        <v>216</v>
      </c>
      <c r="E28" s="151" t="s">
        <v>29</v>
      </c>
      <c r="F28" s="151" t="s">
        <v>173</v>
      </c>
      <c r="G28" s="151" t="s">
        <v>177</v>
      </c>
      <c r="H28" s="151" t="s">
        <v>102</v>
      </c>
      <c r="J28" s="161"/>
      <c r="K28" s="162" t="s">
        <v>34</v>
      </c>
      <c r="L28" s="162" t="s">
        <v>216</v>
      </c>
      <c r="M28" s="162" t="s">
        <v>31</v>
      </c>
      <c r="N28" s="162" t="s">
        <v>29</v>
      </c>
      <c r="O28" s="162" t="s">
        <v>173</v>
      </c>
      <c r="P28" s="162" t="s">
        <v>177</v>
      </c>
      <c r="Q28" s="162" t="s">
        <v>102</v>
      </c>
    </row>
    <row r="29" spans="1:19" ht="65.25" thickTop="1" thickBot="1" x14ac:dyDescent="0.25">
      <c r="B29" s="152" t="s">
        <v>219</v>
      </c>
      <c r="C29" s="155">
        <f>SUM(C30:C31)</f>
        <v>18166</v>
      </c>
      <c r="D29" s="155">
        <f t="shared" ref="D29:G29" si="0">SUM(D30:D31)</f>
        <v>3331</v>
      </c>
      <c r="E29" s="155">
        <f t="shared" si="0"/>
        <v>499</v>
      </c>
      <c r="F29" s="155">
        <f t="shared" si="0"/>
        <v>1114</v>
      </c>
      <c r="G29" s="155">
        <f t="shared" si="0"/>
        <v>1551</v>
      </c>
      <c r="H29" s="155">
        <f>SUM(C29:G29)</f>
        <v>24661</v>
      </c>
      <c r="J29" s="157" t="s">
        <v>219</v>
      </c>
      <c r="K29" s="158" t="str">
        <f>C7</f>
        <v>30 932</v>
      </c>
      <c r="L29" s="158">
        <f t="shared" ref="L29" si="1">D7</f>
        <v>26289</v>
      </c>
      <c r="M29" s="158">
        <f>G7</f>
        <v>906</v>
      </c>
      <c r="N29" s="160">
        <f>I7</f>
        <v>24461</v>
      </c>
      <c r="O29" s="160">
        <f>L7</f>
        <v>90394</v>
      </c>
      <c r="P29" s="160">
        <f>P7</f>
        <v>5307</v>
      </c>
      <c r="Q29" s="158">
        <f>SUM(K29:P29)</f>
        <v>147357</v>
      </c>
    </row>
    <row r="30" spans="1:19" ht="41.25" thickTop="1" thickBot="1" x14ac:dyDescent="0.25">
      <c r="B30" s="153" t="s">
        <v>182</v>
      </c>
      <c r="C30" s="156">
        <f>C9</f>
        <v>13256</v>
      </c>
      <c r="D30" s="156">
        <f>D9</f>
        <v>1583</v>
      </c>
      <c r="E30" s="154">
        <f>I9</f>
        <v>25</v>
      </c>
      <c r="F30" s="156">
        <f>L9</f>
        <v>1114</v>
      </c>
      <c r="G30" s="156">
        <f>P9</f>
        <v>1551</v>
      </c>
      <c r="H30" s="155">
        <f t="shared" ref="H30:H34" si="2">SUM(C30:G30)</f>
        <v>17529</v>
      </c>
      <c r="J30" s="157" t="s">
        <v>218</v>
      </c>
      <c r="K30" s="160">
        <f>C20</f>
        <v>25117</v>
      </c>
      <c r="L30" s="158">
        <f>D20</f>
        <v>8542</v>
      </c>
      <c r="M30" s="158">
        <f>G20</f>
        <v>251</v>
      </c>
      <c r="N30" s="160">
        <f>I20</f>
        <v>4929</v>
      </c>
      <c r="O30" s="160">
        <f>L20</f>
        <v>31981</v>
      </c>
      <c r="P30" s="160">
        <f>P20</f>
        <v>0</v>
      </c>
      <c r="Q30" s="158">
        <f>SUM(K30:P30)</f>
        <v>70820</v>
      </c>
    </row>
    <row r="31" spans="1:19" ht="14.25" thickTop="1" thickBot="1" x14ac:dyDescent="0.25">
      <c r="B31" s="153" t="s">
        <v>217</v>
      </c>
      <c r="C31" s="154">
        <f>C10</f>
        <v>4910</v>
      </c>
      <c r="D31" s="154">
        <f>D10</f>
        <v>1748</v>
      </c>
      <c r="E31" s="154">
        <f>I10</f>
        <v>474</v>
      </c>
      <c r="F31" s="156" t="str">
        <f>L10</f>
        <v>-</v>
      </c>
      <c r="G31" s="156" t="str">
        <f>P10</f>
        <v>-</v>
      </c>
      <c r="H31" s="155">
        <f t="shared" si="2"/>
        <v>7132</v>
      </c>
    </row>
    <row r="32" spans="1:19" ht="15.75" thickTop="1" thickBot="1" x14ac:dyDescent="0.25">
      <c r="B32" s="152" t="s">
        <v>218</v>
      </c>
      <c r="C32" s="155">
        <f>SUM(C33:C34)</f>
        <v>14751</v>
      </c>
      <c r="D32" s="155">
        <f t="shared" ref="D32:G34" si="3">SUM(D33:D34)</f>
        <v>1082</v>
      </c>
      <c r="E32" s="155">
        <f t="shared" si="3"/>
        <v>101</v>
      </c>
      <c r="F32" s="155">
        <f t="shared" si="3"/>
        <v>394</v>
      </c>
      <c r="G32" s="155">
        <f t="shared" si="3"/>
        <v>0</v>
      </c>
      <c r="H32" s="155">
        <f t="shared" si="2"/>
        <v>16328</v>
      </c>
      <c r="J32" s="78">
        <v>2020</v>
      </c>
      <c r="K32" s="78" t="s">
        <v>222</v>
      </c>
    </row>
    <row r="33" spans="2:17" ht="27" thickTop="1" thickBot="1" x14ac:dyDescent="0.25">
      <c r="B33" s="153" t="s">
        <v>182</v>
      </c>
      <c r="C33" s="156">
        <f>C22</f>
        <v>10764</v>
      </c>
      <c r="D33" s="156">
        <f>D22</f>
        <v>514</v>
      </c>
      <c r="E33" s="154">
        <f>I22</f>
        <v>5</v>
      </c>
      <c r="F33" s="154">
        <f>L22</f>
        <v>394</v>
      </c>
      <c r="G33" s="155">
        <f t="shared" si="3"/>
        <v>0</v>
      </c>
      <c r="H33" s="155">
        <f t="shared" si="2"/>
        <v>11677</v>
      </c>
      <c r="J33" s="161"/>
      <c r="K33" s="162" t="s">
        <v>34</v>
      </c>
      <c r="L33" s="162" t="s">
        <v>216</v>
      </c>
      <c r="M33" s="162" t="s">
        <v>31</v>
      </c>
      <c r="N33" s="162" t="s">
        <v>29</v>
      </c>
      <c r="O33" s="162" t="s">
        <v>173</v>
      </c>
      <c r="P33" s="162" t="s">
        <v>177</v>
      </c>
      <c r="Q33" s="162" t="s">
        <v>102</v>
      </c>
    </row>
    <row r="34" spans="2:17" ht="65.25" thickTop="1" thickBot="1" x14ac:dyDescent="0.25">
      <c r="B34" s="153" t="s">
        <v>217</v>
      </c>
      <c r="C34" s="156">
        <f>C23</f>
        <v>3987</v>
      </c>
      <c r="D34" s="156">
        <f>D23</f>
        <v>568</v>
      </c>
      <c r="E34" s="154">
        <f>I23</f>
        <v>96</v>
      </c>
      <c r="F34" s="154" t="str">
        <f>L23</f>
        <v>-</v>
      </c>
      <c r="G34" s="155">
        <f t="shared" si="3"/>
        <v>0</v>
      </c>
      <c r="H34" s="155">
        <f t="shared" si="2"/>
        <v>4651</v>
      </c>
      <c r="J34" s="157" t="s">
        <v>219</v>
      </c>
      <c r="K34" s="160">
        <f>INT('Energia elektryczna'!I25*1.05)</f>
        <v>25856</v>
      </c>
      <c r="L34" s="160">
        <f>Ciepło!F3+Ciepło!F6</f>
        <v>77267</v>
      </c>
      <c r="M34" s="160">
        <f>M29</f>
        <v>906</v>
      </c>
      <c r="N34" s="160">
        <f>N29</f>
        <v>24461</v>
      </c>
      <c r="O34" s="160">
        <f>O29</f>
        <v>90394</v>
      </c>
      <c r="P34" s="160">
        <f>P29</f>
        <v>5307</v>
      </c>
      <c r="Q34" s="160">
        <f>SUM(K34:P34)</f>
        <v>224191</v>
      </c>
    </row>
    <row r="35" spans="2:17" ht="26.25" thickBot="1" x14ac:dyDescent="0.25">
      <c r="J35" s="158" t="s">
        <v>221</v>
      </c>
      <c r="K35" s="160">
        <f>C38</f>
        <v>765</v>
      </c>
      <c r="L35" s="160">
        <v>94.94</v>
      </c>
      <c r="M35" s="160">
        <f>77.4</f>
        <v>77.400000000000006</v>
      </c>
      <c r="N35" s="160">
        <f>55.33</f>
        <v>55.33</v>
      </c>
      <c r="O35" s="160">
        <v>94.78</v>
      </c>
      <c r="P35" s="160">
        <v>0</v>
      </c>
      <c r="Q35" s="160">
        <f>SUM(K35:P35)</f>
        <v>1087.45</v>
      </c>
    </row>
    <row r="36" spans="2:17" ht="29.25" thickBot="1" x14ac:dyDescent="0.25">
      <c r="B36" s="157">
        <v>2020</v>
      </c>
      <c r="C36" s="157" t="s">
        <v>34</v>
      </c>
      <c r="D36" s="157" t="s">
        <v>216</v>
      </c>
      <c r="E36" s="157" t="s">
        <v>29</v>
      </c>
      <c r="F36" s="157" t="s">
        <v>173</v>
      </c>
      <c r="G36" s="157" t="s">
        <v>177</v>
      </c>
      <c r="H36" s="157" t="s">
        <v>102</v>
      </c>
      <c r="J36" s="158" t="s">
        <v>220</v>
      </c>
      <c r="K36" s="160">
        <f>ROUND(K34*K35/1000,0)</f>
        <v>19780</v>
      </c>
      <c r="L36" s="160">
        <f>ROUND(L34*3.6*L35/1000,0)</f>
        <v>26409</v>
      </c>
      <c r="M36" s="160">
        <f t="shared" ref="M36:P36" si="4">ROUND(M34*3.6*M35/1000,0)</f>
        <v>252</v>
      </c>
      <c r="N36" s="160">
        <f t="shared" si="4"/>
        <v>4872</v>
      </c>
      <c r="O36" s="160">
        <f t="shared" si="4"/>
        <v>30843</v>
      </c>
      <c r="P36" s="160">
        <f t="shared" si="4"/>
        <v>0</v>
      </c>
      <c r="Q36" s="160">
        <f>SUM(K36:P36)</f>
        <v>82156</v>
      </c>
    </row>
    <row r="37" spans="2:17" ht="39" thickBot="1" x14ac:dyDescent="0.25">
      <c r="B37" s="158" t="s">
        <v>219</v>
      </c>
      <c r="C37" s="160">
        <f>'Energia elektryczna'!I22+'Energia elektryczna'!I23</f>
        <v>188095</v>
      </c>
      <c r="D37" s="160">
        <f>Ciepło!F4/3.6</f>
        <v>2323.6111111111109</v>
      </c>
      <c r="E37" s="160">
        <f>E29</f>
        <v>499</v>
      </c>
      <c r="F37" s="160">
        <f>F29</f>
        <v>1114</v>
      </c>
      <c r="G37" s="160">
        <f>G29</f>
        <v>1551</v>
      </c>
      <c r="H37" s="160">
        <f>SUM(C37:G37)</f>
        <v>193582.61111111112</v>
      </c>
    </row>
    <row r="38" spans="2:17" ht="26.25" thickBot="1" x14ac:dyDescent="0.25">
      <c r="B38" s="158" t="s">
        <v>221</v>
      </c>
      <c r="C38" s="158">
        <v>765</v>
      </c>
      <c r="D38" s="158">
        <v>94.94</v>
      </c>
      <c r="E38" s="158">
        <f>55.33</f>
        <v>55.33</v>
      </c>
      <c r="F38" s="158">
        <v>94.78</v>
      </c>
      <c r="G38" s="158">
        <v>0</v>
      </c>
      <c r="H38" s="159" t="s">
        <v>13</v>
      </c>
    </row>
    <row r="39" spans="2:17" ht="16.5" thickBot="1" x14ac:dyDescent="0.25">
      <c r="B39" s="158" t="s">
        <v>220</v>
      </c>
      <c r="C39" s="160">
        <f>C37*C38/1000</f>
        <v>143892.67499999999</v>
      </c>
      <c r="D39" s="160">
        <f t="shared" ref="D39" si="5">INT(D37*3.6*D38/1000)</f>
        <v>794</v>
      </c>
      <c r="E39" s="160">
        <f>INT(E37*3.6*E38/1000)</f>
        <v>99</v>
      </c>
      <c r="F39" s="160">
        <f t="shared" ref="F39:G39" si="6">INT(F37*3.6*F38/1000)</f>
        <v>380</v>
      </c>
      <c r="G39" s="160">
        <f t="shared" si="6"/>
        <v>0</v>
      </c>
      <c r="H39" s="160">
        <f t="shared" ref="H39" si="7">SUM(C39:G39)</f>
        <v>145165.67499999999</v>
      </c>
    </row>
  </sheetData>
  <mergeCells count="20">
    <mergeCell ref="B11:S11"/>
    <mergeCell ref="A2:A3"/>
    <mergeCell ref="B2:B3"/>
    <mergeCell ref="C2:C3"/>
    <mergeCell ref="D2:D3"/>
    <mergeCell ref="E2:M2"/>
    <mergeCell ref="N2:R2"/>
    <mergeCell ref="S2:S3"/>
    <mergeCell ref="C4:S4"/>
    <mergeCell ref="B5:S5"/>
    <mergeCell ref="S15:S16"/>
    <mergeCell ref="C17:S17"/>
    <mergeCell ref="B18:S18"/>
    <mergeCell ref="B24:S24"/>
    <mergeCell ref="A15:A16"/>
    <mergeCell ref="B15:B16"/>
    <mergeCell ref="C15:C16"/>
    <mergeCell ref="D15:D16"/>
    <mergeCell ref="E15:M15"/>
    <mergeCell ref="N15:R1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01B6A-F11D-46C2-A0A1-BA2F9DC30436}">
  <dimension ref="A1:P42"/>
  <sheetViews>
    <sheetView topLeftCell="A13" zoomScale="70" zoomScaleNormal="70" workbookViewId="0">
      <selection activeCell="B16" sqref="B16"/>
    </sheetView>
  </sheetViews>
  <sheetFormatPr defaultRowHeight="12.75" x14ac:dyDescent="0.2"/>
  <cols>
    <col min="1" max="1" width="51.85546875" style="79" customWidth="1"/>
    <col min="2" max="2" width="26.42578125" style="79" customWidth="1"/>
    <col min="3" max="4" width="26.42578125" style="80" customWidth="1"/>
    <col min="5" max="5" width="17.85546875" style="80" customWidth="1"/>
    <col min="6" max="6" width="16" style="79" customWidth="1"/>
    <col min="7" max="7" width="24.140625" style="79" customWidth="1"/>
    <col min="8" max="8" width="31.28515625" style="79" bestFit="1" customWidth="1"/>
    <col min="9" max="9" width="16" style="79" customWidth="1"/>
    <col min="10" max="12" width="9.140625" style="79"/>
    <col min="13" max="13" width="16.42578125" style="79" customWidth="1"/>
    <col min="14" max="14" width="13.5703125" style="79" customWidth="1"/>
    <col min="15" max="15" width="9.140625" style="79"/>
    <col min="16" max="16" width="9.5703125" style="79" bestFit="1" customWidth="1"/>
    <col min="17" max="16384" width="9.140625" style="79"/>
  </cols>
  <sheetData>
    <row r="1" spans="1:16" x14ac:dyDescent="0.2">
      <c r="A1" s="79" t="s">
        <v>16</v>
      </c>
    </row>
    <row r="2" spans="1:16" ht="13.5" thickBot="1" x14ac:dyDescent="0.25">
      <c r="A2" s="79" t="s">
        <v>107</v>
      </c>
    </row>
    <row r="3" spans="1:16" s="83" customFormat="1" ht="51.75" thickBot="1" x14ac:dyDescent="0.25">
      <c r="A3" s="85" t="s">
        <v>108</v>
      </c>
      <c r="B3" s="87" t="s">
        <v>105</v>
      </c>
      <c r="C3" s="87" t="s">
        <v>106</v>
      </c>
      <c r="D3" s="87" t="s">
        <v>109</v>
      </c>
      <c r="E3" s="80"/>
      <c r="F3" s="91" t="s">
        <v>120</v>
      </c>
      <c r="G3" s="92" t="s">
        <v>121</v>
      </c>
      <c r="H3" s="92" t="s">
        <v>122</v>
      </c>
      <c r="I3" s="92" t="s">
        <v>123</v>
      </c>
      <c r="J3" s="92" t="s">
        <v>124</v>
      </c>
      <c r="K3" s="92" t="s">
        <v>125</v>
      </c>
      <c r="M3" s="91" t="s">
        <v>134</v>
      </c>
      <c r="N3" s="92" t="s">
        <v>135</v>
      </c>
      <c r="O3" s="92" t="s">
        <v>136</v>
      </c>
      <c r="P3" s="92" t="s">
        <v>137</v>
      </c>
    </row>
    <row r="4" spans="1:16" ht="27" thickTop="1" thickBot="1" x14ac:dyDescent="0.25">
      <c r="A4" s="86" t="s">
        <v>110</v>
      </c>
      <c r="B4" s="64">
        <f>$P$4</f>
        <v>18022</v>
      </c>
      <c r="C4" s="64">
        <f t="shared" ref="C4:D4" si="0">$P$4</f>
        <v>18022</v>
      </c>
      <c r="D4" s="64">
        <f t="shared" si="0"/>
        <v>18022</v>
      </c>
      <c r="F4" s="91" t="s">
        <v>126</v>
      </c>
      <c r="G4" s="99">
        <v>8460.7999999999993</v>
      </c>
      <c r="H4" s="92">
        <v>779.7</v>
      </c>
      <c r="I4" s="92">
        <v>852.4</v>
      </c>
      <c r="J4" s="100">
        <v>3701.4</v>
      </c>
      <c r="K4" s="100">
        <v>3127.3</v>
      </c>
      <c r="M4" s="13" t="s">
        <v>138</v>
      </c>
      <c r="N4" s="15">
        <f>590.6</f>
        <v>590.6</v>
      </c>
      <c r="O4" s="15">
        <f>30515</f>
        <v>30515</v>
      </c>
      <c r="P4" s="15">
        <f>INT(O4/1000*N4)</f>
        <v>18022</v>
      </c>
    </row>
    <row r="5" spans="1:16" ht="39" thickBot="1" x14ac:dyDescent="0.25">
      <c r="A5" s="86" t="s">
        <v>111</v>
      </c>
      <c r="B5" s="88">
        <v>0.50829999999999997</v>
      </c>
      <c r="C5" s="88">
        <v>0.1981</v>
      </c>
      <c r="D5" s="88">
        <v>0.29360000000000003</v>
      </c>
      <c r="F5" s="13" t="s">
        <v>127</v>
      </c>
      <c r="G5" s="101">
        <v>1</v>
      </c>
      <c r="H5" s="102">
        <f>H4/$G$4</f>
        <v>9.2154406202723166E-2</v>
      </c>
      <c r="I5" s="102">
        <f t="shared" ref="I5:K5" si="1">I4/$G$4</f>
        <v>0.10074697428139184</v>
      </c>
      <c r="J5" s="102">
        <f t="shared" si="1"/>
        <v>0.43747636157337372</v>
      </c>
      <c r="K5" s="102">
        <f t="shared" si="1"/>
        <v>0.36962225794251141</v>
      </c>
    </row>
    <row r="6" spans="1:16" ht="13.5" thickBot="1" x14ac:dyDescent="0.25">
      <c r="A6" s="86" t="s">
        <v>112</v>
      </c>
      <c r="B6" s="64">
        <f>INT(B4*B5)</f>
        <v>9160</v>
      </c>
      <c r="C6" s="64">
        <f t="shared" ref="C6:D6" si="2">INT(C4*C5)</f>
        <v>3570</v>
      </c>
      <c r="D6" s="64">
        <f t="shared" si="2"/>
        <v>5291</v>
      </c>
    </row>
    <row r="7" spans="1:16" ht="26.25" thickBot="1" x14ac:dyDescent="0.25">
      <c r="A7" s="86" t="s">
        <v>113</v>
      </c>
      <c r="B7" s="63">
        <v>7.4</v>
      </c>
      <c r="C7" s="63">
        <v>9.7100000000000009</v>
      </c>
      <c r="D7" s="63">
        <v>6.83</v>
      </c>
    </row>
    <row r="8" spans="1:16" ht="26.25" thickBot="1" x14ac:dyDescent="0.25">
      <c r="A8" s="86" t="s">
        <v>114</v>
      </c>
      <c r="B8" s="64">
        <v>11097</v>
      </c>
      <c r="C8" s="64">
        <v>12769</v>
      </c>
      <c r="D8" s="64">
        <v>14070</v>
      </c>
    </row>
    <row r="9" spans="1:16" ht="26.25" thickBot="1" x14ac:dyDescent="0.25">
      <c r="A9" s="86" t="s">
        <v>115</v>
      </c>
      <c r="B9" s="89">
        <f>$K$5</f>
        <v>0.36962225794251141</v>
      </c>
      <c r="C9" s="89">
        <f t="shared" ref="C9:D9" si="3">$K$5</f>
        <v>0.36962225794251141</v>
      </c>
      <c r="D9" s="89">
        <f t="shared" si="3"/>
        <v>0.36962225794251141</v>
      </c>
      <c r="F9" s="103"/>
      <c r="G9" s="104" t="s">
        <v>80</v>
      </c>
      <c r="H9" s="105" t="s">
        <v>133</v>
      </c>
    </row>
    <row r="10" spans="1:16" ht="26.25" thickBot="1" x14ac:dyDescent="0.25">
      <c r="A10" s="86" t="s">
        <v>116</v>
      </c>
      <c r="B10" s="64">
        <f>B9*B8</f>
        <v>4101.6981963880489</v>
      </c>
      <c r="C10" s="64">
        <f t="shared" ref="C10:D10" si="4">C9*C8</f>
        <v>4719.706611667928</v>
      </c>
      <c r="D10" s="64">
        <f t="shared" si="4"/>
        <v>5200.585169251136</v>
      </c>
      <c r="F10" s="95" t="s">
        <v>107</v>
      </c>
      <c r="G10" s="106">
        <f>SUM(B16:D16)</f>
        <v>56692.884603216822</v>
      </c>
      <c r="H10" s="107">
        <f>SUM(B18:D18)</f>
        <v>14204.771371565814</v>
      </c>
    </row>
    <row r="11" spans="1:16" ht="26.25" thickBot="1" x14ac:dyDescent="0.25">
      <c r="A11" s="86" t="s">
        <v>117</v>
      </c>
      <c r="B11" s="64">
        <f>B10*B6</f>
        <v>37571555.478914529</v>
      </c>
      <c r="C11" s="64">
        <f t="shared" ref="C11:D11" si="5">C10*C6</f>
        <v>16849352.603654504</v>
      </c>
      <c r="D11" s="64">
        <f t="shared" si="5"/>
        <v>27516296.13050776</v>
      </c>
      <c r="F11" s="96" t="s">
        <v>132</v>
      </c>
      <c r="G11" s="118">
        <f>SUM(B37:D37)</f>
        <v>13563.258427539722</v>
      </c>
      <c r="H11" s="119">
        <f>SUM(B39:D39)</f>
        <v>3471.6150116920085</v>
      </c>
    </row>
    <row r="12" spans="1:16" ht="26.25" thickBot="1" x14ac:dyDescent="0.25">
      <c r="A12" s="86" t="s">
        <v>118</v>
      </c>
      <c r="B12" s="64">
        <f>B11/100*B7</f>
        <v>2780295.1054396755</v>
      </c>
      <c r="C12" s="64">
        <f t="shared" ref="C12:D12" si="6">C11/100*C7</f>
        <v>1636072.1378148526</v>
      </c>
      <c r="D12" s="64">
        <f t="shared" si="6"/>
        <v>1879363.0257136801</v>
      </c>
      <c r="G12" s="120">
        <f>G10+G11</f>
        <v>70256.143030756546</v>
      </c>
      <c r="H12" s="120">
        <f>H10+H11</f>
        <v>17676.386383257821</v>
      </c>
    </row>
    <row r="13" spans="1:16" ht="26.25" thickBot="1" x14ac:dyDescent="0.25">
      <c r="A13" s="86" t="s">
        <v>128</v>
      </c>
      <c r="B13" s="93">
        <v>44.3</v>
      </c>
      <c r="C13" s="93">
        <v>47.3</v>
      </c>
      <c r="D13" s="93">
        <v>43</v>
      </c>
    </row>
    <row r="14" spans="1:16" ht="26.25" thickBot="1" x14ac:dyDescent="0.25">
      <c r="A14" s="86" t="s">
        <v>129</v>
      </c>
      <c r="B14" s="65">
        <f>0.72/2+0.775/2</f>
        <v>0.74750000000000005</v>
      </c>
      <c r="C14" s="65">
        <v>0.56000000000000005</v>
      </c>
      <c r="D14" s="65">
        <f>0.85</f>
        <v>0.85</v>
      </c>
    </row>
    <row r="15" spans="1:16" ht="26.25" thickBot="1" x14ac:dyDescent="0.25">
      <c r="A15" s="86" t="s">
        <v>130</v>
      </c>
      <c r="B15" s="64">
        <f>B12*B14</f>
        <v>2078270.5913161575</v>
      </c>
      <c r="C15" s="64">
        <f t="shared" ref="C15:D15" si="7">C12*C14</f>
        <v>916200.39717631752</v>
      </c>
      <c r="D15" s="64">
        <f t="shared" si="7"/>
        <v>1597458.5718566279</v>
      </c>
    </row>
    <row r="16" spans="1:16" ht="13.5" thickBot="1" x14ac:dyDescent="0.25">
      <c r="A16" s="86" t="s">
        <v>119</v>
      </c>
      <c r="B16" s="64">
        <f>B15*B13/1000/3.6</f>
        <v>25574.274220918269</v>
      </c>
      <c r="C16" s="64">
        <f t="shared" ref="C16:D16" si="8">C15*C13/1000/3.6</f>
        <v>12037.855218455503</v>
      </c>
      <c r="D16" s="64">
        <f t="shared" si="8"/>
        <v>19080.755163843056</v>
      </c>
    </row>
    <row r="17" spans="1:12" ht="26.25" thickBot="1" x14ac:dyDescent="0.25">
      <c r="A17" s="86" t="s">
        <v>131</v>
      </c>
      <c r="B17" s="64">
        <f>69.3</f>
        <v>69.3</v>
      </c>
      <c r="C17" s="64">
        <f>63.1</f>
        <v>63.1</v>
      </c>
      <c r="D17" s="64">
        <f>74.1</f>
        <v>74.099999999999994</v>
      </c>
    </row>
    <row r="18" spans="1:12" ht="13.5" thickBot="1" x14ac:dyDescent="0.25">
      <c r="A18" s="86" t="s">
        <v>50</v>
      </c>
      <c r="B18" s="64">
        <f>B16*3.6*B17/1000</f>
        <v>6380.2699326346901</v>
      </c>
      <c r="C18" s="64">
        <f t="shared" ref="C18:D18" si="9">C16*3.6*C17/1000</f>
        <v>2734.5191914243519</v>
      </c>
      <c r="D18" s="64">
        <f t="shared" si="9"/>
        <v>5089.9822475067731</v>
      </c>
    </row>
    <row r="21" spans="1:12" ht="13.5" thickBot="1" x14ac:dyDescent="0.25">
      <c r="A21" s="79" t="s">
        <v>132</v>
      </c>
    </row>
    <row r="22" spans="1:12" ht="51.75" thickBot="1" x14ac:dyDescent="0.25">
      <c r="A22" s="91" t="s">
        <v>108</v>
      </c>
      <c r="B22" s="90" t="s">
        <v>105</v>
      </c>
      <c r="C22" s="90" t="s">
        <v>106</v>
      </c>
      <c r="D22" s="90" t="s">
        <v>109</v>
      </c>
      <c r="F22" s="91" t="s">
        <v>149</v>
      </c>
      <c r="G22" s="91" t="s">
        <v>145</v>
      </c>
      <c r="H22" s="92" t="s">
        <v>144</v>
      </c>
      <c r="I22" s="92" t="s">
        <v>141</v>
      </c>
      <c r="J22" s="92" t="s">
        <v>142</v>
      </c>
      <c r="K22" s="92" t="s">
        <v>143</v>
      </c>
    </row>
    <row r="23" spans="1:12" ht="14.25" thickTop="1" thickBot="1" x14ac:dyDescent="0.25">
      <c r="A23" s="97" t="s">
        <v>111</v>
      </c>
      <c r="B23" s="108">
        <v>0.23469999999999999</v>
      </c>
      <c r="C23" s="108">
        <v>6.3299999999999995E-2</v>
      </c>
      <c r="D23" s="108">
        <v>0.70199999999999996</v>
      </c>
      <c r="F23" s="205" t="s">
        <v>150</v>
      </c>
      <c r="G23" s="13">
        <v>16302</v>
      </c>
      <c r="H23" s="109" t="s">
        <v>147</v>
      </c>
      <c r="I23" s="109">
        <f>270</f>
        <v>270</v>
      </c>
      <c r="J23" s="109">
        <f>96+101</f>
        <v>197</v>
      </c>
      <c r="K23" s="109">
        <v>34</v>
      </c>
    </row>
    <row r="24" spans="1:12" ht="26.25" thickBot="1" x14ac:dyDescent="0.25">
      <c r="A24" s="13" t="s">
        <v>158</v>
      </c>
      <c r="B24" s="115">
        <f>SUM(I35:K35,I37:K37)</f>
        <v>4567</v>
      </c>
      <c r="C24" s="115">
        <f>$B$24</f>
        <v>4567</v>
      </c>
      <c r="D24" s="115">
        <f t="shared" ref="D24" si="10">$B$24</f>
        <v>4567</v>
      </c>
      <c r="F24" s="206"/>
      <c r="G24" s="13">
        <v>16321</v>
      </c>
      <c r="H24" s="15" t="s">
        <v>146</v>
      </c>
      <c r="I24" s="98">
        <v>388</v>
      </c>
      <c r="J24" s="98">
        <f>131+235</f>
        <v>366</v>
      </c>
      <c r="K24" s="98">
        <v>59</v>
      </c>
    </row>
    <row r="25" spans="1:12" ht="26.25" thickBot="1" x14ac:dyDescent="0.25">
      <c r="A25" s="13" t="s">
        <v>159</v>
      </c>
      <c r="B25" s="115">
        <f>INT(B23*B24)</f>
        <v>1071</v>
      </c>
      <c r="C25" s="115">
        <f t="shared" ref="C25:D25" si="11">INT(C23*C24)</f>
        <v>289</v>
      </c>
      <c r="D25" s="115">
        <f t="shared" si="11"/>
        <v>3206</v>
      </c>
      <c r="F25" s="111" t="s">
        <v>13</v>
      </c>
      <c r="G25" s="13" t="s">
        <v>13</v>
      </c>
      <c r="H25" s="13" t="s">
        <v>148</v>
      </c>
      <c r="I25" s="113">
        <f>AVERAGE(I23:I24)</f>
        <v>329</v>
      </c>
      <c r="J25" s="113">
        <f t="shared" ref="J25" si="12">AVERAGE(J23:J24)</f>
        <v>281.5</v>
      </c>
      <c r="K25" s="113">
        <f t="shared" ref="K25" si="13">AVERAGE(K23:K24)</f>
        <v>46.5</v>
      </c>
    </row>
    <row r="26" spans="1:12" ht="39" customHeight="1" thickBot="1" x14ac:dyDescent="0.25">
      <c r="A26" s="13" t="s">
        <v>160</v>
      </c>
      <c r="B26" s="110">
        <v>26</v>
      </c>
      <c r="C26" s="110">
        <f>$B$26</f>
        <v>26</v>
      </c>
      <c r="D26" s="110">
        <f>$B$26</f>
        <v>26</v>
      </c>
      <c r="F26" s="207" t="s">
        <v>153</v>
      </c>
      <c r="G26" s="13">
        <v>16303</v>
      </c>
      <c r="H26" s="109" t="s">
        <v>151</v>
      </c>
      <c r="I26" s="109">
        <v>512</v>
      </c>
      <c r="J26" s="109">
        <v>742</v>
      </c>
      <c r="K26" s="109">
        <v>40</v>
      </c>
    </row>
    <row r="27" spans="1:12" ht="26.25" thickBot="1" x14ac:dyDescent="0.25">
      <c r="A27" s="13" t="s">
        <v>161</v>
      </c>
      <c r="B27" s="115">
        <f>B26*B25</f>
        <v>27846</v>
      </c>
      <c r="C27" s="115">
        <f t="shared" ref="C27:D27" si="14">C26*C25</f>
        <v>7514</v>
      </c>
      <c r="D27" s="115">
        <f t="shared" si="14"/>
        <v>83356</v>
      </c>
      <c r="F27" s="207"/>
      <c r="G27" s="13">
        <v>16322</v>
      </c>
      <c r="H27" s="15" t="s">
        <v>146</v>
      </c>
      <c r="I27" s="98">
        <v>733</v>
      </c>
      <c r="J27" s="98">
        <f>305+662</f>
        <v>967</v>
      </c>
      <c r="K27" s="98">
        <v>51</v>
      </c>
    </row>
    <row r="28" spans="1:12" ht="26.25" thickBot="1" x14ac:dyDescent="0.25">
      <c r="A28" s="13" t="s">
        <v>162</v>
      </c>
      <c r="B28" s="115">
        <f>SUM(I25:K25,I28:K28,I31:K31)</f>
        <v>3003.5</v>
      </c>
      <c r="C28" s="115">
        <f>$B$28</f>
        <v>3003.5</v>
      </c>
      <c r="D28" s="115">
        <f>$B$28</f>
        <v>3003.5</v>
      </c>
      <c r="F28" s="112" t="s">
        <v>13</v>
      </c>
      <c r="G28" s="13" t="s">
        <v>13</v>
      </c>
      <c r="H28" s="13" t="s">
        <v>148</v>
      </c>
      <c r="I28" s="113">
        <f>AVERAGE(I26:I27)</f>
        <v>622.5</v>
      </c>
      <c r="J28" s="113">
        <f t="shared" ref="J28" si="15">AVERAGE(J26:J27)</f>
        <v>854.5</v>
      </c>
      <c r="K28" s="113">
        <f t="shared" ref="K28" si="16">AVERAGE(K26:K27)</f>
        <v>45.5</v>
      </c>
    </row>
    <row r="29" spans="1:12" ht="26.25" thickBot="1" x14ac:dyDescent="0.25">
      <c r="A29" s="13" t="s">
        <v>163</v>
      </c>
      <c r="B29" s="115">
        <f>B28*$B$23</f>
        <v>704.92144999999994</v>
      </c>
      <c r="C29" s="115">
        <f t="shared" ref="C29:D29" si="17">C28*$B$23</f>
        <v>704.92144999999994</v>
      </c>
      <c r="D29" s="115">
        <f t="shared" si="17"/>
        <v>704.92144999999994</v>
      </c>
      <c r="F29" s="207" t="s">
        <v>153</v>
      </c>
      <c r="G29" s="13">
        <v>16304</v>
      </c>
      <c r="H29" s="15" t="s">
        <v>146</v>
      </c>
      <c r="I29" s="109">
        <v>322</v>
      </c>
      <c r="J29" s="109">
        <f>109+335</f>
        <v>444</v>
      </c>
      <c r="K29" s="109">
        <v>18</v>
      </c>
    </row>
    <row r="30" spans="1:12" ht="26.25" customHeight="1" thickBot="1" x14ac:dyDescent="0.25">
      <c r="A30" s="13" t="s">
        <v>164</v>
      </c>
      <c r="B30" s="110">
        <f>11.49+5.3+2.22</f>
        <v>19.009999999999998</v>
      </c>
      <c r="C30" s="110">
        <f>$B$30</f>
        <v>19.009999999999998</v>
      </c>
      <c r="D30" s="110">
        <f>$B$30</f>
        <v>19.009999999999998</v>
      </c>
      <c r="F30" s="207"/>
      <c r="G30" s="13">
        <v>16323</v>
      </c>
      <c r="H30" s="15" t="s">
        <v>152</v>
      </c>
      <c r="I30" s="98">
        <v>334</v>
      </c>
      <c r="J30" s="98">
        <f>103+406</f>
        <v>509</v>
      </c>
      <c r="K30" s="98">
        <v>21</v>
      </c>
    </row>
    <row r="31" spans="1:12" ht="26.25" thickBot="1" x14ac:dyDescent="0.25">
      <c r="A31" s="13" t="s">
        <v>165</v>
      </c>
      <c r="B31" s="115">
        <f>B30*B29</f>
        <v>13400.556764499997</v>
      </c>
      <c r="C31" s="115">
        <f t="shared" ref="C31" si="18">C30*C29</f>
        <v>13400.556764499997</v>
      </c>
      <c r="D31" s="115">
        <f t="shared" ref="D31" si="19">D30*D29</f>
        <v>13400.556764499997</v>
      </c>
      <c r="F31" s="112" t="s">
        <v>13</v>
      </c>
      <c r="G31" s="13" t="s">
        <v>13</v>
      </c>
      <c r="H31" s="13" t="s">
        <v>148</v>
      </c>
      <c r="I31" s="113">
        <f>AVERAGE(I29:I30)</f>
        <v>328</v>
      </c>
      <c r="J31" s="113">
        <f t="shared" ref="J31" si="20">AVERAGE(J29:J30)</f>
        <v>476.5</v>
      </c>
      <c r="K31" s="113">
        <f t="shared" ref="K31" si="21">AVERAGE(K29:K30)</f>
        <v>19.5</v>
      </c>
    </row>
    <row r="32" spans="1:12" ht="13.5" thickBot="1" x14ac:dyDescent="0.25">
      <c r="A32" s="13" t="s">
        <v>168</v>
      </c>
      <c r="B32" s="115">
        <f>INT(SUM(B31,B25)*200)</f>
        <v>2894311</v>
      </c>
      <c r="C32" s="115">
        <f t="shared" ref="C32:D32" si="22">INT(SUM(C31,C25)*200)</f>
        <v>2737911</v>
      </c>
      <c r="D32" s="115">
        <f t="shared" si="22"/>
        <v>3321311</v>
      </c>
      <c r="F32" s="58" t="s">
        <v>157</v>
      </c>
      <c r="G32" s="13">
        <v>41303</v>
      </c>
      <c r="H32" s="15" t="s">
        <v>154</v>
      </c>
      <c r="I32" s="109">
        <v>966</v>
      </c>
      <c r="J32" s="109">
        <f>355+910</f>
        <v>1265</v>
      </c>
      <c r="K32" s="109">
        <v>136</v>
      </c>
      <c r="L32" s="114">
        <f>SUM(I32:K32)</f>
        <v>2367</v>
      </c>
    </row>
    <row r="33" spans="1:12" ht="26.25" thickBot="1" x14ac:dyDescent="0.25">
      <c r="A33" s="13" t="s">
        <v>113</v>
      </c>
      <c r="B33" s="98">
        <v>10</v>
      </c>
      <c r="C33" s="98">
        <v>12.6</v>
      </c>
      <c r="D33" s="98">
        <v>24.8</v>
      </c>
      <c r="F33" s="111"/>
      <c r="G33" s="13">
        <v>41304</v>
      </c>
      <c r="H33" s="15" t="s">
        <v>155</v>
      </c>
      <c r="I33" s="98">
        <v>1148</v>
      </c>
      <c r="J33" s="98">
        <f>493+1348</f>
        <v>1841</v>
      </c>
      <c r="K33" s="98">
        <v>174</v>
      </c>
    </row>
    <row r="34" spans="1:12" ht="26.25" thickBot="1" x14ac:dyDescent="0.25">
      <c r="A34" s="13" t="s">
        <v>118</v>
      </c>
      <c r="B34" s="115">
        <f>B32/100*B33</f>
        <v>289431.09999999998</v>
      </c>
      <c r="C34" s="115">
        <f t="shared" ref="C34:D34" si="23">C32/100*C33</f>
        <v>344976.78600000002</v>
      </c>
      <c r="D34" s="115">
        <f t="shared" si="23"/>
        <v>823685.12800000003</v>
      </c>
      <c r="F34" s="13"/>
      <c r="G34" s="13">
        <v>41312</v>
      </c>
      <c r="H34" s="109" t="s">
        <v>156</v>
      </c>
      <c r="I34" s="110">
        <v>472</v>
      </c>
      <c r="J34" s="110">
        <f>213+319</f>
        <v>532</v>
      </c>
      <c r="K34" s="110">
        <v>24</v>
      </c>
      <c r="L34" s="114">
        <v>2381</v>
      </c>
    </row>
    <row r="35" spans="1:12" ht="13.5" thickBot="1" x14ac:dyDescent="0.25">
      <c r="A35" s="13" t="s">
        <v>139</v>
      </c>
      <c r="B35" s="116">
        <f>B13</f>
        <v>44.3</v>
      </c>
      <c r="C35" s="116">
        <f t="shared" ref="C35:D35" si="24">C13</f>
        <v>47.3</v>
      </c>
      <c r="D35" s="116">
        <f t="shared" si="24"/>
        <v>43</v>
      </c>
      <c r="F35" s="112" t="s">
        <v>13</v>
      </c>
      <c r="G35" s="13" t="s">
        <v>13</v>
      </c>
      <c r="H35" s="13" t="s">
        <v>148</v>
      </c>
      <c r="I35" s="113">
        <f>AVERAGE(I32:I34)</f>
        <v>862</v>
      </c>
      <c r="J35" s="113">
        <f>AVERAGE(J32:J34)</f>
        <v>1212.6666666666667</v>
      </c>
      <c r="K35" s="113">
        <f>AVERAGE(K32:K34)</f>
        <v>111.33333333333333</v>
      </c>
    </row>
    <row r="36" spans="1:12" ht="13.5" thickBot="1" x14ac:dyDescent="0.25">
      <c r="A36" s="13" t="s">
        <v>140</v>
      </c>
      <c r="B36" s="117">
        <f>B14</f>
        <v>0.74750000000000005</v>
      </c>
      <c r="C36" s="117">
        <f t="shared" ref="C36:D36" si="25">C14</f>
        <v>0.56000000000000005</v>
      </c>
      <c r="D36" s="117">
        <f t="shared" si="25"/>
        <v>0.85</v>
      </c>
      <c r="F36" s="58" t="s">
        <v>166</v>
      </c>
      <c r="G36" s="13">
        <v>41305</v>
      </c>
      <c r="H36" s="15" t="s">
        <v>167</v>
      </c>
      <c r="I36" s="109">
        <f>640</f>
        <v>640</v>
      </c>
      <c r="J36" s="109">
        <f>289+1350</f>
        <v>1639</v>
      </c>
      <c r="K36" s="109">
        <v>102</v>
      </c>
    </row>
    <row r="37" spans="1:12" ht="13.5" thickBot="1" x14ac:dyDescent="0.25">
      <c r="A37" s="13" t="s">
        <v>119</v>
      </c>
      <c r="B37" s="115">
        <f>B34*B36*B35/3.6/1000</f>
        <v>2662.3038342152772</v>
      </c>
      <c r="C37" s="115">
        <f t="shared" ref="C37:D37" si="26">C34*C36*C35/3.6/1000</f>
        <v>2538.2625298800003</v>
      </c>
      <c r="D37" s="115">
        <f t="shared" si="26"/>
        <v>8362.692063444445</v>
      </c>
      <c r="F37" s="112" t="s">
        <v>13</v>
      </c>
      <c r="G37" s="13" t="s">
        <v>13</v>
      </c>
      <c r="H37" s="13" t="s">
        <v>148</v>
      </c>
      <c r="I37" s="113">
        <f>I36</f>
        <v>640</v>
      </c>
      <c r="J37" s="113">
        <f t="shared" ref="J37:K37" si="27">J36</f>
        <v>1639</v>
      </c>
      <c r="K37" s="113">
        <f t="shared" si="27"/>
        <v>102</v>
      </c>
    </row>
    <row r="38" spans="1:12" ht="26.25" thickBot="1" x14ac:dyDescent="0.25">
      <c r="A38" s="86" t="s">
        <v>131</v>
      </c>
      <c r="B38" s="64">
        <f>69.3</f>
        <v>69.3</v>
      </c>
      <c r="C38" s="64">
        <f>63.1</f>
        <v>63.1</v>
      </c>
      <c r="D38" s="64">
        <f>74.1</f>
        <v>74.099999999999994</v>
      </c>
    </row>
    <row r="39" spans="1:12" ht="13.5" thickBot="1" x14ac:dyDescent="0.25">
      <c r="A39" s="86" t="s">
        <v>50</v>
      </c>
      <c r="B39" s="64">
        <f>B37*3.6*B38/1000</f>
        <v>664.19156056002737</v>
      </c>
      <c r="C39" s="64">
        <f t="shared" ref="C39" si="28">C37*3.6*C38/1000</f>
        <v>576.59171628754098</v>
      </c>
      <c r="D39" s="64">
        <f t="shared" ref="D39" si="29">D37*3.6*D38/1000</f>
        <v>2230.8317348444402</v>
      </c>
    </row>
    <row r="40" spans="1:12" x14ac:dyDescent="0.2">
      <c r="C40" s="79"/>
      <c r="D40" s="79"/>
      <c r="E40" s="79"/>
    </row>
    <row r="41" spans="1:12" x14ac:dyDescent="0.2">
      <c r="C41" s="79"/>
      <c r="D41" s="79"/>
      <c r="E41" s="79"/>
    </row>
    <row r="42" spans="1:12" x14ac:dyDescent="0.2">
      <c r="C42" s="79"/>
      <c r="D42" s="79"/>
      <c r="E42" s="79"/>
    </row>
  </sheetData>
  <mergeCells count="3">
    <mergeCell ref="F23:F24"/>
    <mergeCell ref="F26:F27"/>
    <mergeCell ref="F29:F30"/>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B3347-5298-481A-88AA-C74ECAE88E14}">
  <dimension ref="A1:J7"/>
  <sheetViews>
    <sheetView workbookViewId="0">
      <selection activeCell="B28" sqref="B28"/>
    </sheetView>
  </sheetViews>
  <sheetFormatPr defaultRowHeight="15" x14ac:dyDescent="0.25"/>
  <cols>
    <col min="1" max="6" width="25.28515625" style="143" customWidth="1"/>
    <col min="7" max="10" width="26.85546875" style="144" customWidth="1"/>
    <col min="11" max="16384" width="9.140625" style="77"/>
  </cols>
  <sheetData>
    <row r="1" spans="1:10" ht="15.75" thickBot="1" x14ac:dyDescent="0.3">
      <c r="A1" s="208" t="s">
        <v>193</v>
      </c>
      <c r="B1" s="134">
        <v>2016</v>
      </c>
      <c r="C1" s="134">
        <v>2017</v>
      </c>
      <c r="D1" s="134">
        <v>2018</v>
      </c>
      <c r="E1" s="134">
        <v>2019</v>
      </c>
      <c r="F1" s="134">
        <v>2020</v>
      </c>
      <c r="G1" s="135">
        <v>2021</v>
      </c>
      <c r="H1" s="135">
        <v>2022</v>
      </c>
      <c r="I1" s="135">
        <v>2023</v>
      </c>
      <c r="J1" s="135">
        <v>2024</v>
      </c>
    </row>
    <row r="2" spans="1:10" ht="15.75" thickBot="1" x14ac:dyDescent="0.3">
      <c r="A2" s="209"/>
      <c r="B2" s="136" t="s">
        <v>194</v>
      </c>
      <c r="C2" s="136" t="s">
        <v>194</v>
      </c>
      <c r="D2" s="136" t="s">
        <v>194</v>
      </c>
      <c r="E2" s="136" t="s">
        <v>194</v>
      </c>
      <c r="F2" s="136" t="s">
        <v>194</v>
      </c>
      <c r="G2" s="137" t="s">
        <v>194</v>
      </c>
      <c r="H2" s="137" t="s">
        <v>194</v>
      </c>
      <c r="I2" s="137" t="s">
        <v>194</v>
      </c>
      <c r="J2" s="137" t="s">
        <v>194</v>
      </c>
    </row>
    <row r="3" spans="1:10" ht="39" thickBot="1" x14ac:dyDescent="0.3">
      <c r="A3" s="138" t="s">
        <v>195</v>
      </c>
      <c r="B3" s="139">
        <v>88677</v>
      </c>
      <c r="C3" s="139">
        <v>88136</v>
      </c>
      <c r="D3" s="139">
        <v>80230</v>
      </c>
      <c r="E3" s="139">
        <v>76182</v>
      </c>
      <c r="F3" s="139">
        <v>76712</v>
      </c>
      <c r="G3" s="140">
        <v>77379</v>
      </c>
      <c r="H3" s="140">
        <v>77379</v>
      </c>
      <c r="I3" s="140">
        <v>77379</v>
      </c>
      <c r="J3" s="140">
        <v>77379</v>
      </c>
    </row>
    <row r="4" spans="1:10" ht="15.75" thickBot="1" x14ac:dyDescent="0.3">
      <c r="A4" s="138" t="s">
        <v>196</v>
      </c>
      <c r="B4" s="139">
        <v>10813</v>
      </c>
      <c r="C4" s="139">
        <v>13070</v>
      </c>
      <c r="D4" s="139">
        <v>9729</v>
      </c>
      <c r="E4" s="139">
        <v>8308</v>
      </c>
      <c r="F4" s="139">
        <v>8365</v>
      </c>
      <c r="G4" s="140">
        <v>8438</v>
      </c>
      <c r="H4" s="140">
        <v>8438</v>
      </c>
      <c r="I4" s="140">
        <v>8438</v>
      </c>
      <c r="J4" s="140">
        <v>8438</v>
      </c>
    </row>
    <row r="5" spans="1:10" ht="26.25" thickBot="1" x14ac:dyDescent="0.3">
      <c r="A5" s="138" t="s">
        <v>197</v>
      </c>
      <c r="B5" s="139">
        <v>33999</v>
      </c>
      <c r="C5" s="139">
        <v>36573</v>
      </c>
      <c r="D5" s="139">
        <v>32153</v>
      </c>
      <c r="E5" s="139">
        <v>29165</v>
      </c>
      <c r="F5" s="139">
        <v>29368</v>
      </c>
      <c r="G5" s="140">
        <v>29623</v>
      </c>
      <c r="H5" s="140">
        <v>29623</v>
      </c>
      <c r="I5" s="140">
        <v>29623</v>
      </c>
      <c r="J5" s="140">
        <v>29623</v>
      </c>
    </row>
    <row r="6" spans="1:10" ht="15.75" thickBot="1" x14ac:dyDescent="0.3">
      <c r="A6" s="138" t="s">
        <v>198</v>
      </c>
      <c r="B6" s="141">
        <v>597</v>
      </c>
      <c r="C6" s="141">
        <v>620</v>
      </c>
      <c r="D6" s="141">
        <v>571</v>
      </c>
      <c r="E6" s="141">
        <v>551</v>
      </c>
      <c r="F6" s="141">
        <v>555</v>
      </c>
      <c r="G6" s="142">
        <v>560</v>
      </c>
      <c r="H6" s="142">
        <v>560</v>
      </c>
      <c r="I6" s="142">
        <v>560</v>
      </c>
      <c r="J6" s="142">
        <v>560</v>
      </c>
    </row>
    <row r="7" spans="1:10" ht="15.75" thickBot="1" x14ac:dyDescent="0.3">
      <c r="A7" s="138" t="s">
        <v>102</v>
      </c>
      <c r="B7" s="139">
        <v>134086</v>
      </c>
      <c r="C7" s="139">
        <v>138400</v>
      </c>
      <c r="D7" s="139">
        <v>122683</v>
      </c>
      <c r="E7" s="139">
        <v>114205</v>
      </c>
      <c r="F7" s="139">
        <v>115000</v>
      </c>
      <c r="G7" s="140">
        <v>116000</v>
      </c>
      <c r="H7" s="140">
        <v>116000</v>
      </c>
      <c r="I7" s="140">
        <v>116000</v>
      </c>
      <c r="J7" s="140">
        <v>116000</v>
      </c>
    </row>
  </sheetData>
  <mergeCells count="1">
    <mergeCell ref="A1:A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44B31-406F-48B1-ACAC-2EBC1D0AC40E}">
  <dimension ref="A1:S34"/>
  <sheetViews>
    <sheetView zoomScale="70" zoomScaleNormal="70" workbookViewId="0">
      <selection activeCell="I15" sqref="I15"/>
    </sheetView>
  </sheetViews>
  <sheetFormatPr defaultRowHeight="12.75" x14ac:dyDescent="0.2"/>
  <cols>
    <col min="1" max="1" width="28.5703125" style="78" customWidth="1"/>
    <col min="2" max="3" width="21" style="61" customWidth="1"/>
    <col min="4" max="9" width="21" style="80" customWidth="1"/>
    <col min="10" max="10" width="9.140625" style="78"/>
    <col min="11" max="11" width="28.5703125" style="78" customWidth="1"/>
    <col min="12" max="12" width="21" style="78" customWidth="1"/>
    <col min="13" max="13" width="21" style="78" hidden="1" customWidth="1"/>
    <col min="14" max="14" width="21" style="78" customWidth="1"/>
    <col min="15" max="15" width="21" style="78" hidden="1" customWidth="1"/>
    <col min="16" max="16" width="21" style="78" customWidth="1"/>
    <col min="17" max="17" width="21" style="78" hidden="1" customWidth="1"/>
    <col min="18" max="18" width="21" style="78" customWidth="1"/>
    <col min="19" max="19" width="21" style="78" hidden="1" customWidth="1"/>
    <col min="20" max="16384" width="9.140625" style="78"/>
  </cols>
  <sheetData>
    <row r="1" spans="1:19" ht="25.5" x14ac:dyDescent="0.2">
      <c r="B1" s="61" t="s">
        <v>199</v>
      </c>
    </row>
    <row r="2" spans="1:19" x14ac:dyDescent="0.2">
      <c r="A2" s="81" t="s">
        <v>201</v>
      </c>
      <c r="B2" s="61" t="s">
        <v>213</v>
      </c>
      <c r="K2" s="81" t="s">
        <v>206</v>
      </c>
      <c r="L2" s="61" t="s">
        <v>213</v>
      </c>
      <c r="M2" s="61"/>
      <c r="N2" s="80"/>
      <c r="O2" s="80"/>
      <c r="P2" s="80"/>
      <c r="Q2" s="80"/>
      <c r="R2" s="80"/>
      <c r="S2" s="80"/>
    </row>
    <row r="3" spans="1:19" x14ac:dyDescent="0.2">
      <c r="A3" s="84"/>
      <c r="B3" s="212">
        <v>2016</v>
      </c>
      <c r="C3" s="213"/>
      <c r="D3" s="212">
        <v>2017</v>
      </c>
      <c r="E3" s="213"/>
      <c r="F3" s="212">
        <v>2018</v>
      </c>
      <c r="G3" s="213"/>
      <c r="H3" s="212">
        <v>2019</v>
      </c>
      <c r="I3" s="213"/>
      <c r="K3" s="84"/>
      <c r="L3" s="212">
        <v>2016</v>
      </c>
      <c r="M3" s="213"/>
      <c r="N3" s="212">
        <v>2017</v>
      </c>
      <c r="O3" s="213"/>
      <c r="P3" s="212">
        <v>2018</v>
      </c>
      <c r="Q3" s="213"/>
      <c r="R3" s="212">
        <v>2019</v>
      </c>
      <c r="S3" s="213"/>
    </row>
    <row r="4" spans="1:19" ht="25.5" x14ac:dyDescent="0.2">
      <c r="A4" s="84"/>
      <c r="B4" s="62" t="s">
        <v>202</v>
      </c>
      <c r="C4" s="62" t="s">
        <v>203</v>
      </c>
      <c r="D4" s="62" t="s">
        <v>202</v>
      </c>
      <c r="E4" s="62" t="s">
        <v>203</v>
      </c>
      <c r="F4" s="62" t="s">
        <v>202</v>
      </c>
      <c r="G4" s="62" t="s">
        <v>203</v>
      </c>
      <c r="H4" s="62" t="s">
        <v>202</v>
      </c>
      <c r="I4" s="62" t="s">
        <v>203</v>
      </c>
      <c r="K4" s="84"/>
      <c r="L4" s="62" t="s">
        <v>202</v>
      </c>
      <c r="M4" s="62" t="s">
        <v>203</v>
      </c>
      <c r="N4" s="62" t="s">
        <v>202</v>
      </c>
      <c r="O4" s="62" t="s">
        <v>203</v>
      </c>
      <c r="P4" s="62" t="s">
        <v>202</v>
      </c>
      <c r="Q4" s="62" t="s">
        <v>203</v>
      </c>
      <c r="R4" s="62" t="s">
        <v>202</v>
      </c>
      <c r="S4" s="62" t="s">
        <v>203</v>
      </c>
    </row>
    <row r="5" spans="1:19" ht="25.5" x14ac:dyDescent="0.2">
      <c r="A5" s="145" t="s">
        <v>200</v>
      </c>
      <c r="B5" s="62">
        <v>0</v>
      </c>
      <c r="C5" s="62">
        <v>0</v>
      </c>
      <c r="D5" s="62">
        <v>0</v>
      </c>
      <c r="E5" s="62">
        <v>0</v>
      </c>
      <c r="F5" s="62">
        <v>0</v>
      </c>
      <c r="G5" s="62">
        <v>0</v>
      </c>
      <c r="H5" s="62">
        <v>0</v>
      </c>
      <c r="I5" s="62">
        <v>0</v>
      </c>
      <c r="K5" s="145" t="s">
        <v>200</v>
      </c>
      <c r="L5" s="62"/>
      <c r="M5" s="62"/>
      <c r="N5" s="62"/>
      <c r="O5" s="62"/>
      <c r="P5" s="62"/>
      <c r="Q5" s="62"/>
      <c r="R5" s="62"/>
      <c r="S5" s="62"/>
    </row>
    <row r="6" spans="1:19" ht="51" x14ac:dyDescent="0.2">
      <c r="A6" s="145" t="s">
        <v>205</v>
      </c>
      <c r="B6" s="62">
        <v>6</v>
      </c>
      <c r="C6" s="62">
        <v>7496</v>
      </c>
      <c r="D6" s="62">
        <v>7</v>
      </c>
      <c r="E6" s="62">
        <v>11295</v>
      </c>
      <c r="F6" s="62">
        <v>6</v>
      </c>
      <c r="G6" s="62">
        <v>14449</v>
      </c>
      <c r="H6" s="62">
        <v>5</v>
      </c>
      <c r="I6" s="62">
        <v>15276</v>
      </c>
      <c r="K6" s="145" t="s">
        <v>205</v>
      </c>
      <c r="L6" s="62"/>
      <c r="M6" s="62"/>
      <c r="N6" s="62"/>
      <c r="O6" s="62"/>
      <c r="P6" s="62"/>
      <c r="Q6" s="62"/>
      <c r="R6" s="62"/>
      <c r="S6" s="62"/>
    </row>
    <row r="7" spans="1:19" ht="51" x14ac:dyDescent="0.2">
      <c r="A7" s="145" t="s">
        <v>204</v>
      </c>
      <c r="B7" s="62">
        <v>579</v>
      </c>
      <c r="C7" s="62">
        <v>5483</v>
      </c>
      <c r="D7" s="62">
        <v>575</v>
      </c>
      <c r="E7" s="62">
        <v>5263</v>
      </c>
      <c r="F7" s="62">
        <v>594</v>
      </c>
      <c r="G7" s="62">
        <v>5474</v>
      </c>
      <c r="H7" s="62">
        <v>581</v>
      </c>
      <c r="I7" s="62">
        <v>5186</v>
      </c>
      <c r="K7" s="145" t="s">
        <v>204</v>
      </c>
      <c r="L7" s="62"/>
      <c r="M7" s="62"/>
      <c r="N7" s="62"/>
      <c r="O7" s="62"/>
      <c r="P7" s="62"/>
      <c r="Q7" s="62"/>
      <c r="R7" s="62"/>
      <c r="S7" s="62"/>
    </row>
    <row r="8" spans="1:19" ht="38.25" x14ac:dyDescent="0.2">
      <c r="A8" s="145" t="s">
        <v>214</v>
      </c>
      <c r="B8" s="62">
        <v>8973</v>
      </c>
      <c r="C8" s="62">
        <v>13358</v>
      </c>
      <c r="D8" s="62">
        <v>8971</v>
      </c>
      <c r="E8" s="62">
        <v>13635</v>
      </c>
      <c r="F8" s="62">
        <v>8994</v>
      </c>
      <c r="G8" s="62">
        <v>13428</v>
      </c>
      <c r="H8" s="62">
        <v>9050</v>
      </c>
      <c r="I8" s="62">
        <v>13370</v>
      </c>
      <c r="K8" s="145" t="s">
        <v>214</v>
      </c>
      <c r="L8" s="62">
        <v>28120</v>
      </c>
      <c r="M8" s="62">
        <v>58726</v>
      </c>
      <c r="N8" s="62">
        <v>28190</v>
      </c>
      <c r="O8" s="62">
        <v>59503</v>
      </c>
      <c r="P8" s="62">
        <v>28264</v>
      </c>
      <c r="Q8" s="62">
        <v>60036</v>
      </c>
      <c r="R8" s="62">
        <v>28249</v>
      </c>
      <c r="S8" s="62">
        <v>59959</v>
      </c>
    </row>
    <row r="9" spans="1:19" x14ac:dyDescent="0.2">
      <c r="A9" s="62"/>
      <c r="B9" s="62">
        <f>SUM(B5:B8)</f>
        <v>9558</v>
      </c>
      <c r="C9" s="62">
        <f t="shared" ref="C9:I9" si="0">SUM(C5:C8)</f>
        <v>26337</v>
      </c>
      <c r="D9" s="62">
        <f t="shared" si="0"/>
        <v>9553</v>
      </c>
      <c r="E9" s="62">
        <f t="shared" si="0"/>
        <v>30193</v>
      </c>
      <c r="F9" s="62">
        <f t="shared" si="0"/>
        <v>9594</v>
      </c>
      <c r="G9" s="62">
        <f t="shared" si="0"/>
        <v>33351</v>
      </c>
      <c r="H9" s="62">
        <f t="shared" si="0"/>
        <v>9636</v>
      </c>
      <c r="I9" s="62">
        <f t="shared" si="0"/>
        <v>33832</v>
      </c>
      <c r="K9" s="62"/>
      <c r="L9" s="62">
        <f>SUM(L5:L8)</f>
        <v>28120</v>
      </c>
      <c r="M9" s="62">
        <f t="shared" ref="M9" si="1">SUM(M5:M8)</f>
        <v>58726</v>
      </c>
      <c r="N9" s="62">
        <f t="shared" ref="N9" si="2">SUM(N5:N8)</f>
        <v>28190</v>
      </c>
      <c r="O9" s="62">
        <f t="shared" ref="O9" si="3">SUM(O5:O8)</f>
        <v>59503</v>
      </c>
      <c r="P9" s="62">
        <f t="shared" ref="P9" si="4">SUM(P5:P8)</f>
        <v>28264</v>
      </c>
      <c r="Q9" s="62">
        <f t="shared" ref="Q9" si="5">SUM(Q5:Q8)</f>
        <v>60036</v>
      </c>
      <c r="R9" s="62">
        <f t="shared" ref="R9" si="6">SUM(R5:R8)</f>
        <v>28249</v>
      </c>
      <c r="S9" s="62">
        <f t="shared" ref="S9" si="7">SUM(S5:S8)</f>
        <v>59959</v>
      </c>
    </row>
    <row r="10" spans="1:19" x14ac:dyDescent="0.2">
      <c r="B10" s="80"/>
      <c r="C10" s="80"/>
      <c r="L10" s="80"/>
      <c r="M10" s="80"/>
      <c r="N10" s="80"/>
      <c r="O10" s="80"/>
      <c r="P10" s="80"/>
      <c r="Q10" s="80"/>
      <c r="R10" s="80"/>
      <c r="S10" s="80"/>
    </row>
    <row r="11" spans="1:19" x14ac:dyDescent="0.2">
      <c r="B11" s="61" t="s">
        <v>215</v>
      </c>
      <c r="L11" s="61" t="s">
        <v>215</v>
      </c>
      <c r="M11" s="61"/>
      <c r="N11" s="80"/>
      <c r="O11" s="80"/>
      <c r="P11" s="80"/>
      <c r="Q11" s="80"/>
      <c r="R11" s="80"/>
      <c r="S11" s="80"/>
    </row>
    <row r="12" spans="1:19" x14ac:dyDescent="0.2">
      <c r="A12" s="84"/>
      <c r="B12" s="212">
        <v>2016</v>
      </c>
      <c r="C12" s="213"/>
      <c r="D12" s="212">
        <v>2017</v>
      </c>
      <c r="E12" s="213"/>
      <c r="F12" s="212">
        <v>2018</v>
      </c>
      <c r="G12" s="213"/>
      <c r="H12" s="212">
        <v>2019</v>
      </c>
      <c r="I12" s="213"/>
      <c r="K12" s="84"/>
      <c r="L12" s="212">
        <v>2016</v>
      </c>
      <c r="M12" s="213"/>
      <c r="N12" s="212">
        <v>2017</v>
      </c>
      <c r="O12" s="213"/>
      <c r="P12" s="212">
        <v>2018</v>
      </c>
      <c r="Q12" s="213"/>
      <c r="R12" s="212">
        <v>2019</v>
      </c>
      <c r="S12" s="213"/>
    </row>
    <row r="13" spans="1:19" ht="25.5" x14ac:dyDescent="0.2">
      <c r="A13" s="84"/>
      <c r="B13" s="62" t="s">
        <v>202</v>
      </c>
      <c r="C13" s="62" t="s">
        <v>203</v>
      </c>
      <c r="D13" s="62" t="s">
        <v>202</v>
      </c>
      <c r="E13" s="62" t="s">
        <v>203</v>
      </c>
      <c r="F13" s="62" t="s">
        <v>202</v>
      </c>
      <c r="G13" s="62" t="s">
        <v>203</v>
      </c>
      <c r="H13" s="62" t="s">
        <v>202</v>
      </c>
      <c r="I13" s="62" t="s">
        <v>203</v>
      </c>
      <c r="K13" s="84"/>
      <c r="L13" s="62" t="s">
        <v>202</v>
      </c>
      <c r="M13" s="62" t="s">
        <v>203</v>
      </c>
      <c r="N13" s="62" t="s">
        <v>202</v>
      </c>
      <c r="O13" s="62" t="s">
        <v>203</v>
      </c>
      <c r="P13" s="62" t="s">
        <v>202</v>
      </c>
      <c r="Q13" s="62" t="s">
        <v>203</v>
      </c>
      <c r="R13" s="62" t="s">
        <v>202</v>
      </c>
      <c r="S13" s="62" t="s">
        <v>203</v>
      </c>
    </row>
    <row r="14" spans="1:19" ht="25.5" x14ac:dyDescent="0.2">
      <c r="A14" s="145" t="s">
        <v>200</v>
      </c>
      <c r="B14" s="62">
        <v>0</v>
      </c>
      <c r="C14" s="62">
        <v>128263</v>
      </c>
      <c r="D14" s="62">
        <v>0</v>
      </c>
      <c r="E14" s="62">
        <v>136689</v>
      </c>
      <c r="F14" s="62">
        <v>0</v>
      </c>
      <c r="G14" s="62">
        <v>136493</v>
      </c>
      <c r="H14" s="62">
        <v>0</v>
      </c>
      <c r="I14" s="62">
        <v>129014</v>
      </c>
      <c r="K14" s="145" t="s">
        <v>200</v>
      </c>
      <c r="L14" s="62"/>
      <c r="M14" s="62"/>
      <c r="N14" s="62"/>
      <c r="O14" s="62"/>
      <c r="P14" s="62"/>
      <c r="Q14" s="62"/>
      <c r="R14" s="62"/>
      <c r="S14" s="62"/>
    </row>
    <row r="15" spans="1:19" ht="51" x14ac:dyDescent="0.2">
      <c r="A15" s="145" t="s">
        <v>205</v>
      </c>
      <c r="B15" s="62">
        <v>14</v>
      </c>
      <c r="C15" s="62">
        <v>36776</v>
      </c>
      <c r="D15" s="62">
        <v>14</v>
      </c>
      <c r="E15" s="62">
        <v>33707</v>
      </c>
      <c r="F15" s="62">
        <v>16</v>
      </c>
      <c r="G15" s="62">
        <v>39956</v>
      </c>
      <c r="H15" s="62">
        <v>18</v>
      </c>
      <c r="I15" s="62">
        <v>43805</v>
      </c>
      <c r="K15" s="145" t="s">
        <v>205</v>
      </c>
      <c r="L15" s="62"/>
      <c r="M15" s="62"/>
      <c r="N15" s="62"/>
      <c r="O15" s="62"/>
      <c r="P15" s="62"/>
      <c r="Q15" s="62"/>
      <c r="R15" s="62"/>
      <c r="S15" s="62"/>
    </row>
    <row r="16" spans="1:19" ht="51" x14ac:dyDescent="0.2">
      <c r="A16" s="145" t="s">
        <v>204</v>
      </c>
      <c r="B16" s="210">
        <v>536</v>
      </c>
      <c r="C16" s="210">
        <v>12137</v>
      </c>
      <c r="D16" s="210">
        <v>502</v>
      </c>
      <c r="E16" s="210">
        <v>11798</v>
      </c>
      <c r="F16" s="210">
        <v>457</v>
      </c>
      <c r="G16" s="210">
        <v>11380</v>
      </c>
      <c r="H16" s="210">
        <v>443</v>
      </c>
      <c r="I16" s="210">
        <v>10994</v>
      </c>
      <c r="K16" s="145" t="s">
        <v>204</v>
      </c>
      <c r="L16" s="210"/>
      <c r="M16" s="210"/>
      <c r="N16" s="210"/>
      <c r="O16" s="210"/>
      <c r="P16" s="210"/>
      <c r="Q16" s="210"/>
      <c r="R16" s="210"/>
      <c r="S16" s="210"/>
    </row>
    <row r="17" spans="1:19" ht="38.25" x14ac:dyDescent="0.2">
      <c r="A17" s="145" t="s">
        <v>214</v>
      </c>
      <c r="B17" s="211"/>
      <c r="C17" s="211"/>
      <c r="D17" s="211"/>
      <c r="E17" s="211"/>
      <c r="F17" s="211"/>
      <c r="G17" s="211"/>
      <c r="H17" s="211"/>
      <c r="I17" s="211"/>
      <c r="K17" s="145" t="s">
        <v>214</v>
      </c>
      <c r="L17" s="211"/>
      <c r="M17" s="211"/>
      <c r="N17" s="211"/>
      <c r="O17" s="211"/>
      <c r="P17" s="211"/>
      <c r="Q17" s="211"/>
      <c r="R17" s="211"/>
      <c r="S17" s="211"/>
    </row>
    <row r="18" spans="1:19" x14ac:dyDescent="0.2">
      <c r="A18" s="62"/>
      <c r="B18" s="62">
        <f>SUM(B14:B17)</f>
        <v>550</v>
      </c>
      <c r="C18" s="62">
        <f t="shared" ref="C18" si="8">SUM(C14:C17)</f>
        <v>177176</v>
      </c>
      <c r="D18" s="62">
        <f t="shared" ref="D18" si="9">SUM(D14:D17)</f>
        <v>516</v>
      </c>
      <c r="E18" s="62">
        <f t="shared" ref="E18" si="10">SUM(E14:E17)</f>
        <v>182194</v>
      </c>
      <c r="F18" s="62">
        <f t="shared" ref="F18" si="11">SUM(F14:F17)</f>
        <v>473</v>
      </c>
      <c r="G18" s="62">
        <f t="shared" ref="G18" si="12">SUM(G14:G17)</f>
        <v>187829</v>
      </c>
      <c r="H18" s="62">
        <f t="shared" ref="H18" si="13">SUM(H14:H17)</f>
        <v>461</v>
      </c>
      <c r="I18" s="62">
        <f t="shared" ref="I18" si="14">SUM(I14:I17)</f>
        <v>183813</v>
      </c>
      <c r="K18" s="62"/>
      <c r="L18" s="62">
        <f>SUM(L14:L17)</f>
        <v>0</v>
      </c>
      <c r="M18" s="62">
        <f t="shared" ref="M18" si="15">SUM(M14:M17)</f>
        <v>0</v>
      </c>
      <c r="N18" s="62">
        <f t="shared" ref="N18" si="16">SUM(N14:N17)</f>
        <v>0</v>
      </c>
      <c r="O18" s="62">
        <f t="shared" ref="O18" si="17">SUM(O14:O17)</f>
        <v>0</v>
      </c>
      <c r="P18" s="62">
        <f t="shared" ref="P18" si="18">SUM(P14:P17)</f>
        <v>0</v>
      </c>
      <c r="Q18" s="62">
        <f t="shared" ref="Q18" si="19">SUM(Q14:Q17)</f>
        <v>0</v>
      </c>
      <c r="R18" s="62">
        <f t="shared" ref="R18" si="20">SUM(R14:R17)</f>
        <v>0</v>
      </c>
      <c r="S18" s="62">
        <f t="shared" ref="S18" si="21">SUM(S14:S17)</f>
        <v>0</v>
      </c>
    </row>
    <row r="19" spans="1:19" x14ac:dyDescent="0.2">
      <c r="L19" s="61"/>
      <c r="M19" s="61"/>
      <c r="N19" s="80"/>
      <c r="O19" s="80"/>
      <c r="P19" s="80"/>
      <c r="Q19" s="80"/>
      <c r="R19" s="80"/>
      <c r="S19" s="80"/>
    </row>
    <row r="20" spans="1:19" x14ac:dyDescent="0.2">
      <c r="A20" s="84"/>
      <c r="B20" s="212">
        <v>2016</v>
      </c>
      <c r="C20" s="213"/>
      <c r="D20" s="212">
        <v>2017</v>
      </c>
      <c r="E20" s="213"/>
      <c r="F20" s="212">
        <v>2018</v>
      </c>
      <c r="G20" s="213"/>
      <c r="H20" s="212">
        <v>2019</v>
      </c>
      <c r="I20" s="213"/>
      <c r="K20" s="84"/>
      <c r="L20" s="212">
        <v>2016</v>
      </c>
      <c r="M20" s="213"/>
      <c r="N20" s="212">
        <v>2017</v>
      </c>
      <c r="O20" s="213"/>
      <c r="P20" s="212">
        <v>2018</v>
      </c>
      <c r="Q20" s="213"/>
      <c r="R20" s="212">
        <v>2019</v>
      </c>
      <c r="S20" s="213"/>
    </row>
    <row r="21" spans="1:19" ht="25.5" x14ac:dyDescent="0.2">
      <c r="A21" s="84"/>
      <c r="B21" s="62" t="s">
        <v>202</v>
      </c>
      <c r="C21" s="62" t="s">
        <v>203</v>
      </c>
      <c r="D21" s="62" t="s">
        <v>202</v>
      </c>
      <c r="E21" s="62" t="s">
        <v>203</v>
      </c>
      <c r="F21" s="62" t="s">
        <v>202</v>
      </c>
      <c r="G21" s="62" t="s">
        <v>203</v>
      </c>
      <c r="H21" s="62" t="s">
        <v>202</v>
      </c>
      <c r="I21" s="62" t="s">
        <v>203</v>
      </c>
      <c r="K21" s="84"/>
      <c r="L21" s="62" t="s">
        <v>202</v>
      </c>
      <c r="M21" s="62" t="s">
        <v>203</v>
      </c>
      <c r="N21" s="62" t="s">
        <v>202</v>
      </c>
      <c r="O21" s="62" t="s">
        <v>203</v>
      </c>
      <c r="P21" s="62" t="s">
        <v>202</v>
      </c>
      <c r="Q21" s="62" t="s">
        <v>203</v>
      </c>
      <c r="R21" s="62" t="s">
        <v>202</v>
      </c>
      <c r="S21" s="62" t="s">
        <v>203</v>
      </c>
    </row>
    <row r="22" spans="1:19" ht="25.5" x14ac:dyDescent="0.2">
      <c r="A22" s="145" t="s">
        <v>200</v>
      </c>
      <c r="B22" s="149">
        <f>B5+B14</f>
        <v>0</v>
      </c>
      <c r="C22" s="149">
        <f>C5+C14</f>
        <v>128263</v>
      </c>
      <c r="D22" s="149">
        <f t="shared" ref="D22:I22" si="22">D5+D14</f>
        <v>0</v>
      </c>
      <c r="E22" s="149">
        <f t="shared" si="22"/>
        <v>136689</v>
      </c>
      <c r="F22" s="149">
        <f t="shared" si="22"/>
        <v>0</v>
      </c>
      <c r="G22" s="149">
        <f t="shared" si="22"/>
        <v>136493</v>
      </c>
      <c r="H22" s="149">
        <f t="shared" si="22"/>
        <v>0</v>
      </c>
      <c r="I22" s="149">
        <f t="shared" si="22"/>
        <v>129014</v>
      </c>
      <c r="K22" s="145" t="s">
        <v>200</v>
      </c>
      <c r="L22" s="62">
        <f>L5+L14</f>
        <v>0</v>
      </c>
      <c r="M22" s="62">
        <f t="shared" ref="M22:S22" si="23">M5+M14</f>
        <v>0</v>
      </c>
      <c r="N22" s="62">
        <f t="shared" si="23"/>
        <v>0</v>
      </c>
      <c r="O22" s="62">
        <f t="shared" si="23"/>
        <v>0</v>
      </c>
      <c r="P22" s="62">
        <f t="shared" si="23"/>
        <v>0</v>
      </c>
      <c r="Q22" s="62">
        <f t="shared" si="23"/>
        <v>0</v>
      </c>
      <c r="R22" s="62">
        <f t="shared" si="23"/>
        <v>0</v>
      </c>
      <c r="S22" s="62">
        <f t="shared" si="23"/>
        <v>0</v>
      </c>
    </row>
    <row r="23" spans="1:19" ht="51" x14ac:dyDescent="0.2">
      <c r="A23" s="145" t="s">
        <v>205</v>
      </c>
      <c r="B23" s="149">
        <f t="shared" ref="B23:I24" si="24">B6+B15</f>
        <v>20</v>
      </c>
      <c r="C23" s="149">
        <f t="shared" si="24"/>
        <v>44272</v>
      </c>
      <c r="D23" s="149">
        <f t="shared" si="24"/>
        <v>21</v>
      </c>
      <c r="E23" s="149">
        <f t="shared" si="24"/>
        <v>45002</v>
      </c>
      <c r="F23" s="149">
        <f t="shared" si="24"/>
        <v>22</v>
      </c>
      <c r="G23" s="149">
        <f t="shared" si="24"/>
        <v>54405</v>
      </c>
      <c r="H23" s="149">
        <f t="shared" si="24"/>
        <v>23</v>
      </c>
      <c r="I23" s="149">
        <f t="shared" si="24"/>
        <v>59081</v>
      </c>
      <c r="K23" s="145" t="s">
        <v>205</v>
      </c>
      <c r="L23" s="62">
        <f t="shared" ref="L23:S23" si="25">L6+L15</f>
        <v>0</v>
      </c>
      <c r="M23" s="62">
        <f t="shared" si="25"/>
        <v>0</v>
      </c>
      <c r="N23" s="62">
        <f t="shared" si="25"/>
        <v>0</v>
      </c>
      <c r="O23" s="62">
        <f t="shared" si="25"/>
        <v>0</v>
      </c>
      <c r="P23" s="62">
        <f t="shared" si="25"/>
        <v>0</v>
      </c>
      <c r="Q23" s="62">
        <f t="shared" si="25"/>
        <v>0</v>
      </c>
      <c r="R23" s="62">
        <f t="shared" si="25"/>
        <v>0</v>
      </c>
      <c r="S23" s="62">
        <f t="shared" si="25"/>
        <v>0</v>
      </c>
    </row>
    <row r="24" spans="1:19" ht="51" x14ac:dyDescent="0.2">
      <c r="A24" s="145" t="s">
        <v>204</v>
      </c>
      <c r="B24" s="149">
        <f>B7+B16</f>
        <v>1115</v>
      </c>
      <c r="C24" s="149">
        <f t="shared" si="24"/>
        <v>17620</v>
      </c>
      <c r="D24" s="149">
        <f t="shared" si="24"/>
        <v>1077</v>
      </c>
      <c r="E24" s="149">
        <f t="shared" si="24"/>
        <v>17061</v>
      </c>
      <c r="F24" s="149">
        <f t="shared" si="24"/>
        <v>1051</v>
      </c>
      <c r="G24" s="149">
        <f t="shared" si="24"/>
        <v>16854</v>
      </c>
      <c r="H24" s="149">
        <f t="shared" si="24"/>
        <v>1024</v>
      </c>
      <c r="I24" s="149">
        <f t="shared" si="24"/>
        <v>16180</v>
      </c>
      <c r="K24" s="145" t="s">
        <v>204</v>
      </c>
      <c r="L24" s="62">
        <f t="shared" ref="L24:S24" si="26">L7+L16</f>
        <v>0</v>
      </c>
      <c r="M24" s="62">
        <f t="shared" si="26"/>
        <v>0</v>
      </c>
      <c r="N24" s="62">
        <f t="shared" si="26"/>
        <v>0</v>
      </c>
      <c r="O24" s="62">
        <f t="shared" si="26"/>
        <v>0</v>
      </c>
      <c r="P24" s="62">
        <f t="shared" si="26"/>
        <v>0</v>
      </c>
      <c r="Q24" s="62">
        <f t="shared" si="26"/>
        <v>0</v>
      </c>
      <c r="R24" s="62">
        <f t="shared" si="26"/>
        <v>0</v>
      </c>
      <c r="S24" s="62">
        <f t="shared" si="26"/>
        <v>0</v>
      </c>
    </row>
    <row r="25" spans="1:19" ht="38.25" x14ac:dyDescent="0.2">
      <c r="A25" s="145" t="s">
        <v>214</v>
      </c>
      <c r="B25" s="149">
        <f>L25*$B$30</f>
        <v>11548.880215343203</v>
      </c>
      <c r="C25" s="149">
        <f t="shared" ref="C25" si="27">M25*$B$30</f>
        <v>24118.760296096905</v>
      </c>
      <c r="D25" s="149">
        <f t="shared" ref="D25" si="28">N25*$B$30</f>
        <v>11577.629205921938</v>
      </c>
      <c r="E25" s="149">
        <f t="shared" ref="E25" si="29">O25*$B$30</f>
        <v>24437.874091520862</v>
      </c>
      <c r="F25" s="149">
        <f t="shared" ref="F25" si="30">P25*$B$30</f>
        <v>11608.020995962315</v>
      </c>
      <c r="G25" s="149">
        <f t="shared" ref="G25" si="31">Q25*$B$30</f>
        <v>24656.777119784656</v>
      </c>
      <c r="H25" s="149">
        <f t="shared" ref="H25" si="32">R25*$B$30</f>
        <v>11601.860497981157</v>
      </c>
      <c r="I25" s="149">
        <f t="shared" ref="I25" si="33">S25*$B$30</f>
        <v>24625.153230148047</v>
      </c>
      <c r="K25" s="145" t="s">
        <v>214</v>
      </c>
      <c r="L25" s="62">
        <f t="shared" ref="L25:S25" si="34">L8+L17</f>
        <v>28120</v>
      </c>
      <c r="M25" s="62">
        <f t="shared" si="34"/>
        <v>58726</v>
      </c>
      <c r="N25" s="62">
        <f t="shared" si="34"/>
        <v>28190</v>
      </c>
      <c r="O25" s="62">
        <f t="shared" si="34"/>
        <v>59503</v>
      </c>
      <c r="P25" s="62">
        <f t="shared" si="34"/>
        <v>28264</v>
      </c>
      <c r="Q25" s="62">
        <f t="shared" si="34"/>
        <v>60036</v>
      </c>
      <c r="R25" s="62">
        <f t="shared" si="34"/>
        <v>28249</v>
      </c>
      <c r="S25" s="62">
        <f t="shared" si="34"/>
        <v>59959</v>
      </c>
    </row>
    <row r="26" spans="1:19" x14ac:dyDescent="0.2">
      <c r="A26" s="62"/>
      <c r="B26" s="149">
        <f>SUM(B22:B25)</f>
        <v>12683.880215343203</v>
      </c>
      <c r="C26" s="149">
        <f>SUM(C22:C25)</f>
        <v>214273.76029609691</v>
      </c>
      <c r="D26" s="149">
        <f t="shared" ref="D26" si="35">SUM(D22:D25)</f>
        <v>12675.629205921938</v>
      </c>
      <c r="E26" s="149">
        <f t="shared" ref="E26" si="36">SUM(E22:E25)</f>
        <v>223189.87409152085</v>
      </c>
      <c r="F26" s="149">
        <f t="shared" ref="F26" si="37">SUM(F22:F25)</f>
        <v>12681.020995962315</v>
      </c>
      <c r="G26" s="149">
        <f t="shared" ref="G26" si="38">SUM(G22:G25)</f>
        <v>232408.77711978465</v>
      </c>
      <c r="H26" s="149">
        <f t="shared" ref="H26" si="39">SUM(H22:H25)</f>
        <v>12648.860497981157</v>
      </c>
      <c r="I26" s="149">
        <f t="shared" ref="I26" si="40">SUM(I22:I25)</f>
        <v>228900.15323014805</v>
      </c>
      <c r="K26" s="62"/>
      <c r="L26" s="62">
        <f t="shared" ref="L26:S26" si="41">L9+L18</f>
        <v>28120</v>
      </c>
      <c r="M26" s="62">
        <f t="shared" si="41"/>
        <v>58726</v>
      </c>
      <c r="N26" s="62">
        <f t="shared" si="41"/>
        <v>28190</v>
      </c>
      <c r="O26" s="62">
        <f t="shared" si="41"/>
        <v>59503</v>
      </c>
      <c r="P26" s="62">
        <f t="shared" si="41"/>
        <v>28264</v>
      </c>
      <c r="Q26" s="62">
        <f t="shared" si="41"/>
        <v>60036</v>
      </c>
      <c r="R26" s="62">
        <f t="shared" si="41"/>
        <v>28249</v>
      </c>
      <c r="S26" s="62">
        <f t="shared" si="41"/>
        <v>59959</v>
      </c>
    </row>
    <row r="30" spans="1:19" x14ac:dyDescent="0.2">
      <c r="B30" s="146">
        <f>30515/74300</f>
        <v>0.41069986541049797</v>
      </c>
    </row>
    <row r="32" spans="1:19" x14ac:dyDescent="0.2">
      <c r="C32" s="147" t="s">
        <v>209</v>
      </c>
      <c r="D32" s="148" t="s">
        <v>210</v>
      </c>
      <c r="E32" s="148" t="s">
        <v>211</v>
      </c>
      <c r="F32" s="148" t="s">
        <v>212</v>
      </c>
    </row>
    <row r="33" spans="2:6" x14ac:dyDescent="0.2">
      <c r="B33" s="61" t="s">
        <v>207</v>
      </c>
      <c r="C33" s="61">
        <v>207</v>
      </c>
      <c r="D33" s="80">
        <v>43</v>
      </c>
      <c r="E33" s="80">
        <v>4</v>
      </c>
      <c r="F33" s="80">
        <v>1</v>
      </c>
    </row>
    <row r="34" spans="2:6" x14ac:dyDescent="0.2">
      <c r="B34" s="61" t="s">
        <v>208</v>
      </c>
      <c r="C34" s="61">
        <v>94</v>
      </c>
      <c r="D34" s="80">
        <v>27</v>
      </c>
      <c r="E34" s="80">
        <v>4</v>
      </c>
      <c r="F34" s="80">
        <v>1</v>
      </c>
    </row>
  </sheetData>
  <mergeCells count="40">
    <mergeCell ref="L16:L17"/>
    <mergeCell ref="B3:C3"/>
    <mergeCell ref="D3:E3"/>
    <mergeCell ref="F3:G3"/>
    <mergeCell ref="H3:I3"/>
    <mergeCell ref="B12:C12"/>
    <mergeCell ref="D12:E12"/>
    <mergeCell ref="F12:G12"/>
    <mergeCell ref="H12:I12"/>
    <mergeCell ref="P3:Q3"/>
    <mergeCell ref="R3:S3"/>
    <mergeCell ref="L12:M12"/>
    <mergeCell ref="N12:O12"/>
    <mergeCell ref="P12:Q12"/>
    <mergeCell ref="R12:S12"/>
    <mergeCell ref="L3:M3"/>
    <mergeCell ref="N3:O3"/>
    <mergeCell ref="P20:Q20"/>
    <mergeCell ref="R20:S20"/>
    <mergeCell ref="B16:B17"/>
    <mergeCell ref="C16:C17"/>
    <mergeCell ref="D16:D17"/>
    <mergeCell ref="E16:E17"/>
    <mergeCell ref="F16:F17"/>
    <mergeCell ref="G16:G17"/>
    <mergeCell ref="H16:H17"/>
    <mergeCell ref="B20:C20"/>
    <mergeCell ref="D20:E20"/>
    <mergeCell ref="F20:G20"/>
    <mergeCell ref="H20:I20"/>
    <mergeCell ref="L20:M20"/>
    <mergeCell ref="N20:O20"/>
    <mergeCell ref="I16:I17"/>
    <mergeCell ref="S16:S17"/>
    <mergeCell ref="M16:M17"/>
    <mergeCell ref="N16:N17"/>
    <mergeCell ref="O16:O17"/>
    <mergeCell ref="P16:P17"/>
    <mergeCell ref="Q16:Q17"/>
    <mergeCell ref="R16:R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11</vt:i4>
      </vt:variant>
    </vt:vector>
  </HeadingPairs>
  <TitlesOfParts>
    <vt:vector size="11" baseType="lpstr">
      <vt:lpstr>Wskaźniki</vt:lpstr>
      <vt:lpstr>2013</vt:lpstr>
      <vt:lpstr>2020</vt:lpstr>
      <vt:lpstr>2027</vt:lpstr>
      <vt:lpstr>Zrealizowane</vt:lpstr>
      <vt:lpstr>Planowane</vt:lpstr>
      <vt:lpstr>Podsumowanie inwestycji</vt:lpstr>
      <vt:lpstr>Inwentaryzacja 2013</vt:lpstr>
      <vt:lpstr>Inwentaryzacja 2020</vt:lpstr>
      <vt:lpstr>Ciepło</vt:lpstr>
      <vt:lpstr>Energia elektryczna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dc:creator>
  <cp:lastModifiedBy>DL</cp:lastModifiedBy>
  <dcterms:created xsi:type="dcterms:W3CDTF">2020-10-05T15:20:57Z</dcterms:created>
  <dcterms:modified xsi:type="dcterms:W3CDTF">2021-05-18T13:03:25Z</dcterms:modified>
</cp:coreProperties>
</file>